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queryTables/queryTable3.xml" ContentType="application/vnd.openxmlformats-officedocument.spreadsheetml.query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60" windowHeight="7590"/>
  </bookViews>
  <sheets>
    <sheet name="IS" sheetId="1" r:id="rId1"/>
    <sheet name="BS" sheetId="2" r:id="rId2"/>
    <sheet name="CS" sheetId="3" r:id="rId3"/>
    <sheet name="Ke" sheetId="4" r:id="rId4"/>
    <sheet name="Kd" sheetId="5" r:id="rId5"/>
    <sheet name="WACC" sheetId="6" r:id="rId6"/>
    <sheet name="DCF" sheetId="7" r:id="rId7"/>
    <sheet name="Assumptions" sheetId="8" r:id="rId8"/>
    <sheet name="K Beta and Rate of Returns" sheetId="9" r:id="rId9"/>
  </sheets>
  <definedNames>
    <definedName name="financials?query_balance_sheet" localSheetId="1">BS!$A$1:$E$94</definedName>
    <definedName name="financials?query_cash_flow" localSheetId="2">CS!$A$3:$E$86</definedName>
    <definedName name="financials?query_income_statement" localSheetId="0">IS!$A$3:$E$80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7"/>
  <c r="F23"/>
  <c r="F20"/>
  <c r="B7"/>
  <c r="F13" s="1"/>
  <c r="E5"/>
  <c r="F5"/>
  <c r="G5"/>
  <c r="H5"/>
  <c r="D5"/>
  <c r="G26" i="1"/>
  <c r="H26"/>
  <c r="I26"/>
  <c r="J26"/>
  <c r="J25"/>
  <c r="G25"/>
  <c r="H25"/>
  <c r="I25"/>
  <c r="F26"/>
  <c r="F25"/>
  <c r="G24"/>
  <c r="H24"/>
  <c r="I24"/>
  <c r="J24"/>
  <c r="F24"/>
  <c r="G20"/>
  <c r="H20"/>
  <c r="I20"/>
  <c r="J20"/>
  <c r="F20"/>
  <c r="G19"/>
  <c r="H19"/>
  <c r="I19"/>
  <c r="J19"/>
  <c r="F19"/>
  <c r="H18"/>
  <c r="I18" s="1"/>
  <c r="J18" s="1"/>
  <c r="G18"/>
  <c r="F18"/>
  <c r="G17"/>
  <c r="H17"/>
  <c r="I17"/>
  <c r="J17"/>
  <c r="F17"/>
  <c r="G15"/>
  <c r="H15"/>
  <c r="I15"/>
  <c r="J15"/>
  <c r="F15"/>
  <c r="H12"/>
  <c r="I12" s="1"/>
  <c r="J12" s="1"/>
  <c r="G12"/>
  <c r="F12"/>
  <c r="F8"/>
  <c r="G8"/>
  <c r="H8"/>
  <c r="I8"/>
  <c r="J8"/>
  <c r="E8"/>
  <c r="G7"/>
  <c r="H7"/>
  <c r="I7"/>
  <c r="J7"/>
  <c r="F7"/>
  <c r="H6"/>
  <c r="I6" s="1"/>
  <c r="J6" s="1"/>
  <c r="G6"/>
  <c r="F6"/>
  <c r="T8"/>
  <c r="T9"/>
  <c r="T10"/>
  <c r="S8"/>
  <c r="S9"/>
  <c r="S10"/>
  <c r="R8"/>
  <c r="R9"/>
  <c r="R10"/>
  <c r="Q8"/>
  <c r="Q9"/>
  <c r="Q10"/>
  <c r="P8"/>
  <c r="P9"/>
  <c r="P10"/>
  <c r="T7"/>
  <c r="S7"/>
  <c r="R7"/>
  <c r="Q7"/>
  <c r="P7"/>
  <c r="T6"/>
  <c r="S6"/>
  <c r="R6"/>
  <c r="Q6"/>
  <c r="P6"/>
  <c r="M9"/>
  <c r="O10"/>
  <c r="N10"/>
  <c r="M10"/>
  <c r="O9"/>
  <c r="N9"/>
  <c r="O8"/>
  <c r="N8"/>
  <c r="M8"/>
  <c r="O7"/>
  <c r="N7"/>
  <c r="O6"/>
  <c r="F15" i="7" l="1"/>
  <c r="H10"/>
  <c r="H11" s="1"/>
  <c r="D10"/>
  <c r="E10"/>
  <c r="E11" s="1"/>
  <c r="G10"/>
  <c r="G11" s="1"/>
  <c r="F10"/>
  <c r="D18"/>
  <c r="F11"/>
  <c r="D11"/>
  <c r="C33" i="9"/>
  <c r="F26"/>
  <c r="D26"/>
  <c r="F25"/>
  <c r="D25"/>
  <c r="F24"/>
  <c r="D24"/>
  <c r="F23"/>
  <c r="D23"/>
  <c r="F22"/>
  <c r="D22"/>
  <c r="F21"/>
  <c r="D21"/>
  <c r="F20"/>
  <c r="D20"/>
  <c r="F19"/>
  <c r="D19"/>
  <c r="F18"/>
  <c r="D18"/>
  <c r="F17"/>
  <c r="D17"/>
  <c r="F16"/>
  <c r="D16"/>
  <c r="F15"/>
  <c r="D15"/>
  <c r="F14"/>
  <c r="D14"/>
  <c r="F13"/>
  <c r="D13"/>
  <c r="F12"/>
  <c r="D12"/>
  <c r="F11"/>
  <c r="D11"/>
  <c r="F10"/>
  <c r="D10"/>
  <c r="F9"/>
  <c r="D9"/>
  <c r="F8"/>
  <c r="D8"/>
  <c r="F7"/>
  <c r="D7"/>
  <c r="D27" s="1"/>
  <c r="C30" s="1"/>
  <c r="F6"/>
  <c r="D32" s="1"/>
  <c r="D6"/>
  <c r="C19" i="6"/>
  <c r="C17"/>
  <c r="C11" i="5"/>
  <c r="B18" i="7" l="1"/>
  <c r="F18" s="1"/>
  <c r="F19" s="1"/>
  <c r="F21" s="1"/>
  <c r="F26" s="1"/>
  <c r="F29" s="1"/>
  <c r="F31" s="1"/>
  <c r="C34" i="9"/>
  <c r="C32"/>
  <c r="F27"/>
  <c r="D30" s="1"/>
</calcChain>
</file>

<file path=xl/connections.xml><?xml version="1.0" encoding="utf-8"?>
<connections xmlns="http://schemas.openxmlformats.org/spreadsheetml/2006/main">
  <connection id="1" name="Connection" type="4" refreshedVersion="6" background="1" saveData="1">
    <webPr sourceData="1" parsePre="1" consecutive="1" xl2000="1" url="https://www.nasdaq.com/symbol/k/financials?query=income-statement"/>
  </connection>
  <connection id="2" name="Connection1" type="4" refreshedVersion="6" background="1" saveData="1">
    <webPr sourceData="1" parsePre="1" consecutive="1" xl2000="1" url="https://www.nasdaq.com/symbol/k/financials?query=balance-sheet"/>
  </connection>
  <connection id="3" name="Connection2" type="4" refreshedVersion="6" background="1" saveData="1">
    <webPr sourceData="1" parsePre="1" consecutive="1" xl2000="1" url="https://www.nasdaq.com/symbol/k/financials?query=cash-flow"/>
  </connection>
</connections>
</file>

<file path=xl/sharedStrings.xml><?xml version="1.0" encoding="utf-8"?>
<sst xmlns="http://schemas.openxmlformats.org/spreadsheetml/2006/main" count="154" uniqueCount="147">
  <si>
    <t>Total Revenue</t>
  </si>
  <si>
    <t>Cost of Revenue</t>
  </si>
  <si>
    <t>Gross Profit</t>
  </si>
  <si>
    <t>Operating Expenses</t>
  </si>
  <si>
    <t>Research and Development</t>
  </si>
  <si>
    <t>Sales, General and Admin.</t>
  </si>
  <si>
    <t>Non-Recurring Items</t>
  </si>
  <si>
    <t>Other Operating Items</t>
  </si>
  <si>
    <t>Operating Income</t>
  </si>
  <si>
    <t>Add'l income/expense items</t>
  </si>
  <si>
    <t>Earnings Before Interest and Tax</t>
  </si>
  <si>
    <t>Interest Expense</t>
  </si>
  <si>
    <t>Earnings Before Tax</t>
  </si>
  <si>
    <t>Income Tax</t>
  </si>
  <si>
    <t>Minority Interest</t>
  </si>
  <si>
    <t>Equity Earnings/Loss Unconsolidated Subsidiary</t>
  </si>
  <si>
    <t>Net Income-Cont. Operations</t>
  </si>
  <si>
    <t>Net Income</t>
  </si>
  <si>
    <t>Net Income Applicable to Common Shareholders</t>
  </si>
  <si>
    <t>Current Assets</t>
  </si>
  <si>
    <t>Cash and Cash Equivalents</t>
  </si>
  <si>
    <t>Short-Term Investments</t>
  </si>
  <si>
    <t>Net Receivables</t>
  </si>
  <si>
    <t>Inventory</t>
  </si>
  <si>
    <t>Other Current Assets</t>
  </si>
  <si>
    <t>Total Current Assets</t>
  </si>
  <si>
    <t>Long-Term Assets</t>
  </si>
  <si>
    <t>Long-Term Investments</t>
  </si>
  <si>
    <t>Fixed Assets</t>
  </si>
  <si>
    <t>Goodwill</t>
  </si>
  <si>
    <t>Intangible Assets</t>
  </si>
  <si>
    <t>Other Assets</t>
  </si>
  <si>
    <t>Deferred Asset Charges</t>
  </si>
  <si>
    <t>Total Assets</t>
  </si>
  <si>
    <t>Current Liabilities</t>
  </si>
  <si>
    <t>Accounts Payable</t>
  </si>
  <si>
    <t>Short-Term Debt / Current Portion of Long-Term Debt</t>
  </si>
  <si>
    <t>Other Current Liabilities</t>
  </si>
  <si>
    <t>Total Current Liabilities</t>
  </si>
  <si>
    <t>Long-Term Debt</t>
  </si>
  <si>
    <t>Other Liabilities</t>
  </si>
  <si>
    <t>Deferred Liability Charges</t>
  </si>
  <si>
    <t>Misc. Stocks</t>
  </si>
  <si>
    <t>Total Liabilities</t>
  </si>
  <si>
    <t>Stock Holders Equity</t>
  </si>
  <si>
    <t>Common Stocks</t>
  </si>
  <si>
    <t>Capital Surplus</t>
  </si>
  <si>
    <t>Retained Earnings</t>
  </si>
  <si>
    <t>Treasury Stock</t>
  </si>
  <si>
    <t>Other Equity</t>
  </si>
  <si>
    <t>Total Equity</t>
  </si>
  <si>
    <t>Total Liabilities &amp; Equity</t>
  </si>
  <si>
    <t>Cash Flows-Operating Activities</t>
  </si>
  <si>
    <t>Depreciation</t>
  </si>
  <si>
    <t>Net Income Adjustments</t>
  </si>
  <si>
    <t>Changes in Operating Activities</t>
  </si>
  <si>
    <t>Accounts Receivable</t>
  </si>
  <si>
    <t>Changes in Inventories</t>
  </si>
  <si>
    <t>Other Operating Activities</t>
  </si>
  <si>
    <t>Liabilities</t>
  </si>
  <si>
    <t>Net Cash Flow-Operating</t>
  </si>
  <si>
    <t>Cash Flows-Investing Activities</t>
  </si>
  <si>
    <t>Capital Expenditures</t>
  </si>
  <si>
    <t>Investments</t>
  </si>
  <si>
    <t>Other Investing Activities</t>
  </si>
  <si>
    <t>Net Cash Flows-Investing</t>
  </si>
  <si>
    <t>Cash Flows-Financing Activities</t>
  </si>
  <si>
    <t>Sale and Purchase of Stock</t>
  </si>
  <si>
    <t>Net Borrowings</t>
  </si>
  <si>
    <t>Other Financing Activities</t>
  </si>
  <si>
    <t>Net Cash Flows-Financing</t>
  </si>
  <si>
    <t>Effect of Exchange Rate</t>
  </si>
  <si>
    <t>Net Cash Flow</t>
  </si>
  <si>
    <t>CASH FLOW</t>
  </si>
  <si>
    <t>BALANCE SHEET</t>
  </si>
  <si>
    <t>INCOME STATEMENT</t>
  </si>
  <si>
    <t xml:space="preserve">Risk Free Rate of Return </t>
  </si>
  <si>
    <t>Market Free Rate of Return</t>
  </si>
  <si>
    <t>Beta</t>
  </si>
  <si>
    <t>Cost of Debt</t>
  </si>
  <si>
    <t>Total Interest</t>
  </si>
  <si>
    <t>Total Debt</t>
  </si>
  <si>
    <t>Cost of Equity</t>
  </si>
  <si>
    <t>Cost of Debt(Kd)</t>
  </si>
  <si>
    <t>Cost of Equity(Ke)</t>
  </si>
  <si>
    <t>Total Shareholders Equity</t>
  </si>
  <si>
    <t>Equity + Debt</t>
  </si>
  <si>
    <t>WACC</t>
  </si>
  <si>
    <t>Date</t>
  </si>
  <si>
    <t>Rate of Returns</t>
  </si>
  <si>
    <t>Market Price</t>
  </si>
  <si>
    <t>Market Rate of Return</t>
  </si>
  <si>
    <t>Kellogg</t>
  </si>
  <si>
    <t>Market (S&amp;P 500)</t>
  </si>
  <si>
    <t>Returns</t>
  </si>
  <si>
    <t>Standard Deviation</t>
  </si>
  <si>
    <t>Variance</t>
  </si>
  <si>
    <t>Covariance</t>
  </si>
  <si>
    <t>K Close Price</t>
  </si>
  <si>
    <t>Projections</t>
  </si>
  <si>
    <t>Effective tax rate</t>
  </si>
  <si>
    <t>Change Rates</t>
  </si>
  <si>
    <t>Period Ending</t>
  </si>
  <si>
    <t>Total Revenue Growth</t>
  </si>
  <si>
    <t>Sales, General and Admin</t>
  </si>
  <si>
    <t>PROJECTIONS</t>
  </si>
  <si>
    <t>DISCOUNTED CASH FLOW</t>
  </si>
  <si>
    <t>CASHFLOW</t>
  </si>
  <si>
    <t>EBIT</t>
  </si>
  <si>
    <t>COST OF CAPITAL</t>
  </si>
  <si>
    <t>Cost of Capital</t>
  </si>
  <si>
    <t>PRESENT VALUE OF CASH FLOWS</t>
  </si>
  <si>
    <t>Discount Factor</t>
  </si>
  <si>
    <t>Present Value of Cash Flows</t>
  </si>
  <si>
    <t>TERMINAL VALUE</t>
  </si>
  <si>
    <t>Terminal Value</t>
  </si>
  <si>
    <t xml:space="preserve">Kellogg's PV of Operations </t>
  </si>
  <si>
    <t>Year 1</t>
  </si>
  <si>
    <t>Year 2</t>
  </si>
  <si>
    <t>Year 3</t>
  </si>
  <si>
    <t>Year 4</t>
  </si>
  <si>
    <t>Year 5</t>
  </si>
  <si>
    <t>Growth Rate in Perpetuity</t>
  </si>
  <si>
    <t>PV of CF</t>
  </si>
  <si>
    <t>PV of Terminal Value</t>
  </si>
  <si>
    <t>Total</t>
  </si>
  <si>
    <t>PV of operations</t>
  </si>
  <si>
    <t>Cash and Marketable Securities</t>
  </si>
  <si>
    <t>Enterprise Value</t>
  </si>
  <si>
    <t>Longterm debt</t>
  </si>
  <si>
    <t>Shortterm debt</t>
  </si>
  <si>
    <t>Equity Value</t>
  </si>
  <si>
    <t>Estimated shares outstanding</t>
  </si>
  <si>
    <t>Estimated value per share</t>
  </si>
  <si>
    <t>Current Share price</t>
  </si>
  <si>
    <t>Premium</t>
  </si>
  <si>
    <t>No.</t>
  </si>
  <si>
    <t>The past revenue moving averages were used in predicting revenue growth rate</t>
  </si>
  <si>
    <t>There are no costs to be incurred in research and development.</t>
  </si>
  <si>
    <t>The constant growth rate will be predicted using inflation rates</t>
  </si>
  <si>
    <t>No non-recurring items will occur in the company in its lifetime</t>
  </si>
  <si>
    <t>There will be no emergence of any other operating item.</t>
  </si>
  <si>
    <t>ASSUMPTIONS</t>
  </si>
  <si>
    <t>Kellogg's Beta and Rate of Returns</t>
  </si>
  <si>
    <t>Weighted Average Cost of Capital (WACC)</t>
  </si>
  <si>
    <t>COST OF DEBT (Kd)</t>
  </si>
  <si>
    <t>COST OF EQUITY (Ke)</t>
  </si>
</sst>
</file>

<file path=xl/styles.xml><?xml version="1.0" encoding="utf-8"?>
<styleSheet xmlns="http://schemas.openxmlformats.org/spreadsheetml/2006/main">
  <numFmts count="6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0.0%"/>
    <numFmt numFmtId="165" formatCode="0.000"/>
    <numFmt numFmtId="166" formatCode="&quot;$&quot;#,##0.0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7">
    <xf numFmtId="0" fontId="0" fillId="0" borderId="0" xfId="0"/>
    <xf numFmtId="6" fontId="0" fillId="0" borderId="0" xfId="0" applyNumberFormat="1"/>
    <xf numFmtId="0" fontId="1" fillId="0" borderId="0" xfId="0" applyFont="1"/>
    <xf numFmtId="0" fontId="0" fillId="0" borderId="1" xfId="0" applyBorder="1"/>
    <xf numFmtId="14" fontId="0" fillId="0" borderId="1" xfId="0" applyNumberFormat="1" applyBorder="1"/>
    <xf numFmtId="0" fontId="0" fillId="2" borderId="1" xfId="0" applyFill="1" applyBorder="1"/>
    <xf numFmtId="6" fontId="0" fillId="0" borderId="1" xfId="0" applyNumberFormat="1" applyBorder="1"/>
    <xf numFmtId="0" fontId="0" fillId="3" borderId="1" xfId="0" applyFill="1" applyBorder="1"/>
    <xf numFmtId="0" fontId="0" fillId="5" borderId="1" xfId="0" applyFill="1" applyBorder="1"/>
    <xf numFmtId="10" fontId="0" fillId="0" borderId="1" xfId="0" applyNumberFormat="1" applyBorder="1"/>
    <xf numFmtId="10" fontId="0" fillId="0" borderId="0" xfId="0" applyNumberFormat="1"/>
    <xf numFmtId="9" fontId="0" fillId="0" borderId="0" xfId="2" applyNumberFormat="1" applyFont="1"/>
    <xf numFmtId="44" fontId="0" fillId="0" borderId="0" xfId="1" applyFont="1" applyBorder="1" applyAlignment="1"/>
    <xf numFmtId="44" fontId="0" fillId="0" borderId="1" xfId="1" applyFont="1" applyBorder="1" applyAlignment="1"/>
    <xf numFmtId="9" fontId="0" fillId="0" borderId="1" xfId="0" applyNumberFormat="1" applyBorder="1"/>
    <xf numFmtId="8" fontId="0" fillId="0" borderId="0" xfId="0" applyNumberFormat="1"/>
    <xf numFmtId="10" fontId="0" fillId="0" borderId="1" xfId="2" applyNumberFormat="1" applyFont="1" applyBorder="1"/>
    <xf numFmtId="10" fontId="0" fillId="4" borderId="4" xfId="2" applyNumberFormat="1" applyFont="1" applyFill="1" applyBorder="1"/>
    <xf numFmtId="0" fontId="0" fillId="6" borderId="0" xfId="0" applyFill="1"/>
    <xf numFmtId="2" fontId="0" fillId="0" borderId="0" xfId="0" applyNumberFormat="1"/>
    <xf numFmtId="8" fontId="0" fillId="6" borderId="0" xfId="0" applyNumberFormat="1" applyFill="1"/>
    <xf numFmtId="164" fontId="0" fillId="6" borderId="0" xfId="2" applyNumberFormat="1" applyFont="1" applyFill="1"/>
    <xf numFmtId="0" fontId="0" fillId="4" borderId="1" xfId="0" applyFill="1" applyBorder="1"/>
    <xf numFmtId="165" fontId="0" fillId="0" borderId="1" xfId="0" applyNumberFormat="1" applyBorder="1"/>
    <xf numFmtId="165" fontId="0" fillId="4" borderId="1" xfId="0" applyNumberFormat="1" applyFill="1" applyBorder="1"/>
    <xf numFmtId="2" fontId="0" fillId="0" borderId="1" xfId="0" applyNumberFormat="1" applyBorder="1"/>
    <xf numFmtId="2" fontId="0" fillId="4" borderId="1" xfId="0" applyNumberFormat="1" applyFill="1" applyBorder="1"/>
    <xf numFmtId="0" fontId="0" fillId="4" borderId="1" xfId="0" applyNumberFormat="1" applyFill="1" applyBorder="1"/>
    <xf numFmtId="8" fontId="0" fillId="4" borderId="1" xfId="0" applyNumberFormat="1" applyFill="1" applyBorder="1"/>
    <xf numFmtId="164" fontId="0" fillId="0" borderId="1" xfId="2" applyNumberFormat="1" applyFont="1" applyBorder="1"/>
    <xf numFmtId="164" fontId="0" fillId="4" borderId="1" xfId="2" applyNumberFormat="1" applyFont="1" applyFill="1" applyBorder="1"/>
    <xf numFmtId="0" fontId="0" fillId="0" borderId="1" xfId="0" applyNumberFormat="1" applyBorder="1"/>
    <xf numFmtId="6" fontId="0" fillId="4" borderId="1" xfId="0" applyNumberFormat="1" applyFill="1" applyBorder="1"/>
    <xf numFmtId="44" fontId="0" fillId="4" borderId="1" xfId="1" applyFont="1" applyFill="1" applyBorder="1"/>
    <xf numFmtId="166" fontId="0" fillId="4" borderId="1" xfId="1" applyNumberFormat="1" applyFont="1" applyFill="1" applyBorder="1"/>
    <xf numFmtId="0" fontId="1" fillId="4" borderId="0" xfId="0" applyFont="1" applyFill="1"/>
    <xf numFmtId="8" fontId="3" fillId="4" borderId="1" xfId="0" applyNumberFormat="1" applyFont="1" applyFill="1" applyBorder="1"/>
    <xf numFmtId="0" fontId="0" fillId="0" borderId="2" xfId="0" applyBorder="1"/>
    <xf numFmtId="0" fontId="0" fillId="0" borderId="5" xfId="0" applyBorder="1"/>
    <xf numFmtId="8" fontId="0" fillId="0" borderId="5" xfId="0" applyNumberFormat="1" applyBorder="1"/>
    <xf numFmtId="0" fontId="1" fillId="0" borderId="2" xfId="0" applyFont="1" applyBorder="1"/>
    <xf numFmtId="164" fontId="0" fillId="0" borderId="0" xfId="0" applyNumberFormat="1"/>
    <xf numFmtId="44" fontId="0" fillId="0" borderId="0" xfId="1" applyFont="1"/>
    <xf numFmtId="44" fontId="0" fillId="0" borderId="0" xfId="0" applyNumberFormat="1"/>
    <xf numFmtId="3" fontId="0" fillId="0" borderId="0" xfId="0" applyNumberFormat="1"/>
    <xf numFmtId="10" fontId="0" fillId="6" borderId="0" xfId="0" applyNumberFormat="1" applyFill="1"/>
    <xf numFmtId="9" fontId="0" fillId="6" borderId="0" xfId="2" applyNumberFormat="1" applyFont="1" applyFill="1"/>
    <xf numFmtId="164" fontId="1" fillId="0" borderId="0" xfId="2" applyNumberFormat="1" applyFont="1"/>
    <xf numFmtId="0" fontId="1" fillId="4" borderId="0" xfId="0" applyFont="1" applyFill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2" borderId="2" xfId="0" applyFill="1" applyBorder="1"/>
    <xf numFmtId="0" fontId="0" fillId="2" borderId="5" xfId="0" applyFill="1" applyBorder="1"/>
    <xf numFmtId="0" fontId="0" fillId="2" borderId="3" xfId="0" applyFill="1" applyBorder="1"/>
    <xf numFmtId="0" fontId="0" fillId="4" borderId="2" xfId="0" applyFill="1" applyBorder="1"/>
    <xf numFmtId="0" fontId="0" fillId="4" borderId="5" xfId="0" applyFill="1" applyBorder="1"/>
    <xf numFmtId="0" fontId="0" fillId="4" borderId="3" xfId="0" applyFill="1" applyBorder="1"/>
    <xf numFmtId="0" fontId="1" fillId="0" borderId="6" xfId="0" applyFont="1" applyBorder="1" applyAlignment="1">
      <alignment horizontal="center"/>
    </xf>
    <xf numFmtId="44" fontId="0" fillId="0" borderId="2" xfId="1" applyFont="1" applyBorder="1" applyAlignment="1">
      <alignment horizontal="center"/>
    </xf>
    <xf numFmtId="44" fontId="0" fillId="0" borderId="3" xfId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200025</xdr:colOff>
      <xdr:row>3</xdr:row>
      <xdr:rowOff>161925</xdr:rowOff>
    </xdr:from>
    <xdr:ext cx="5895908" cy="172227"/>
    <xdr:sp macro="" textlink="">
      <xdr:nvSpPr>
        <xdr:cNvPr id="2" name="TextBox 1"/>
        <xdr:cNvSpPr txBox="1"/>
      </xdr:nvSpPr>
      <xdr:spPr>
        <a:xfrm>
          <a:off x="200025" y="352425"/>
          <a:ext cx="5895908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sz="1100" b="0" i="0">
              <a:latin typeface="Cambria Math" panose="02040503050406030204" pitchFamily="18" charset="0"/>
            </a:rPr>
            <a:t>Cost of Equity=Risk free rateof return+Beta ( Market Rate of return −Risk free rate of return)</a:t>
          </a:r>
          <a:endParaRPr lang="en-US" sz="1100" i="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3</xdr:row>
      <xdr:rowOff>0</xdr:rowOff>
    </xdr:from>
    <xdr:ext cx="1913857" cy="321435"/>
    <xdr:sp macro="" textlink="">
      <xdr:nvSpPr>
        <xdr:cNvPr id="2" name="TextBox 1"/>
        <xdr:cNvSpPr txBox="1"/>
      </xdr:nvSpPr>
      <xdr:spPr>
        <a:xfrm>
          <a:off x="514350" y="190500"/>
          <a:ext cx="1913857" cy="321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sz="1100" b="0" i="0">
              <a:latin typeface="Cambria Math" panose="02040503050406030204" pitchFamily="18" charset="0"/>
            </a:rPr>
            <a:t>Cost of Debt=  (Annual Interest)/(Total Debt)</a:t>
          </a:r>
          <a:endParaRPr lang="en-US" sz="1100" i="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257174</xdr:colOff>
      <xdr:row>4</xdr:row>
      <xdr:rowOff>19050</xdr:rowOff>
    </xdr:from>
    <xdr:ext cx="3800476" cy="895349"/>
    <xdr:sp macro="" textlink="">
      <xdr:nvSpPr>
        <xdr:cNvPr id="3" name="TextBox 2"/>
        <xdr:cNvSpPr txBox="1"/>
      </xdr:nvSpPr>
      <xdr:spPr>
        <a:xfrm>
          <a:off x="257174" y="209550"/>
          <a:ext cx="3800476" cy="8953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r>
            <a:rPr lang="en-US" sz="1100" b="0" i="0">
              <a:latin typeface="Cambria Math" panose="02040503050406030204" pitchFamily="18" charset="0"/>
            </a:rPr>
            <a:t>WACC={  Equity/(Equity+Debt)K_e</a:t>
          </a:r>
          <a:r>
            <a:rPr lang="en-US" sz="1100" i="0"/>
            <a:t> } + { </a:t>
          </a:r>
          <a:r>
            <a:rPr lang="en-US" sz="1100" b="0" i="0">
              <a:latin typeface="Cambria Math" panose="02040503050406030204" pitchFamily="18" charset="0"/>
            </a:rPr>
            <a:t>Debt/(Equity+Debt)K_(d   )</a:t>
          </a:r>
          <a:r>
            <a:rPr lang="en-US" sz="1100" i="0"/>
            <a:t>}</a:t>
          </a:r>
        </a:p>
        <a:p>
          <a:endParaRPr lang="en-US" sz="1100" i="0"/>
        </a:p>
        <a:p>
          <a:r>
            <a:rPr lang="en-US" sz="1100" i="0"/>
            <a:t> where</a:t>
          </a:r>
          <a:r>
            <a:rPr 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K_(d   )</a:t>
          </a:r>
          <a:r>
            <a:rPr lang="en-US" sz="1100" b="0" i="0">
              <a:solidFill>
                <a:schemeClr val="tx1"/>
              </a:solidFill>
              <a:effectLst/>
              <a:latin typeface="Cambria Math" panose="02040503050406030204" pitchFamily="18" charset="0"/>
              <a:ea typeface="+mn-ea"/>
              <a:cs typeface="+mn-cs"/>
            </a:rPr>
            <a:t> is Cost of debt and </a:t>
          </a:r>
          <a:r>
            <a:rPr 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K_e</a:t>
          </a:r>
          <a:r>
            <a:rPr lang="en-US" sz="1100" i="0"/>
            <a:t> the Cost of Equity</a:t>
          </a:r>
        </a:p>
      </xdr:txBody>
    </xdr:sp>
    <xdr:clientData/>
  </xdr:oneCellAnchor>
</xdr:wsDr>
</file>

<file path=xl/queryTables/queryTable1.xml><?xml version="1.0" encoding="utf-8"?>
<queryTable xmlns="http://schemas.openxmlformats.org/spreadsheetml/2006/main" name="financials?query=income-statement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financials?query=balance-sheet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financials?query=cash-flow" connectionId="3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26"/>
  <sheetViews>
    <sheetView tabSelected="1" workbookViewId="0">
      <selection activeCell="E1" sqref="E1"/>
    </sheetView>
  </sheetViews>
  <sheetFormatPr defaultRowHeight="15"/>
  <cols>
    <col min="1" max="1" width="38.140625" customWidth="1"/>
    <col min="2" max="5" width="11.85546875" bestFit="1" customWidth="1"/>
    <col min="6" max="6" width="14.5703125" customWidth="1"/>
    <col min="7" max="7" width="14.140625" customWidth="1"/>
    <col min="8" max="8" width="13.42578125" customWidth="1"/>
    <col min="9" max="9" width="14.85546875" customWidth="1"/>
    <col min="10" max="10" width="14.42578125" customWidth="1"/>
    <col min="12" max="12" width="23.7109375" customWidth="1"/>
    <col min="13" max="13" width="10.5703125" customWidth="1"/>
    <col min="14" max="14" width="14.85546875" customWidth="1"/>
    <col min="15" max="15" width="13.7109375" customWidth="1"/>
    <col min="16" max="20" width="13.42578125" bestFit="1" customWidth="1"/>
  </cols>
  <sheetData>
    <row r="2" spans="1:21">
      <c r="A2" s="2" t="s">
        <v>75</v>
      </c>
    </row>
    <row r="4" spans="1:21">
      <c r="F4" s="61" t="s">
        <v>105</v>
      </c>
      <c r="G4" s="61"/>
      <c r="H4" s="61"/>
      <c r="I4" s="61"/>
      <c r="J4" s="61"/>
      <c r="L4" s="35" t="s">
        <v>101</v>
      </c>
      <c r="P4" s="48" t="s">
        <v>99</v>
      </c>
      <c r="Q4" s="48"/>
      <c r="R4" s="48"/>
      <c r="S4" s="48"/>
      <c r="T4" s="48"/>
    </row>
    <row r="5" spans="1:21">
      <c r="A5" s="3"/>
      <c r="B5" s="31">
        <v>2018</v>
      </c>
      <c r="C5" s="31">
        <v>2017</v>
      </c>
      <c r="D5" s="31">
        <v>2016</v>
      </c>
      <c r="E5" s="31">
        <v>2015</v>
      </c>
      <c r="F5" s="27">
        <v>2019</v>
      </c>
      <c r="G5" s="27">
        <v>2020</v>
      </c>
      <c r="H5" s="27">
        <v>2021</v>
      </c>
      <c r="I5" s="27">
        <v>2022</v>
      </c>
      <c r="J5" s="27">
        <v>2023</v>
      </c>
      <c r="L5" s="3" t="s">
        <v>102</v>
      </c>
      <c r="M5" s="3">
        <v>2016</v>
      </c>
      <c r="N5" s="3">
        <v>2017</v>
      </c>
      <c r="O5" s="3">
        <v>2018</v>
      </c>
      <c r="P5" s="22">
        <v>2019</v>
      </c>
      <c r="Q5" s="22">
        <v>2020</v>
      </c>
      <c r="R5" s="22">
        <v>2021</v>
      </c>
      <c r="S5" s="22">
        <v>2022</v>
      </c>
      <c r="T5" s="22">
        <v>2023</v>
      </c>
    </row>
    <row r="6" spans="1:21">
      <c r="A6" s="3" t="s">
        <v>0</v>
      </c>
      <c r="B6" s="6">
        <v>13547000</v>
      </c>
      <c r="C6" s="6">
        <v>12854000</v>
      </c>
      <c r="D6" s="6">
        <v>12965000</v>
      </c>
      <c r="E6" s="6">
        <v>13525000</v>
      </c>
      <c r="F6" s="22">
        <f>B6*(1+P6)</f>
        <v>13944167.181422126</v>
      </c>
      <c r="G6" s="24">
        <f>F6+(1+Q6)</f>
        <v>13944168.210739847</v>
      </c>
      <c r="H6" s="24">
        <f t="shared" ref="H6:J6" si="0">G6+(1+R6)</f>
        <v>13944169.233163476</v>
      </c>
      <c r="I6" s="24">
        <f t="shared" si="0"/>
        <v>13944170.260183167</v>
      </c>
      <c r="J6" s="24">
        <f t="shared" si="0"/>
        <v>13944171.286436848</v>
      </c>
      <c r="L6" s="3" t="s">
        <v>103</v>
      </c>
      <c r="M6" s="3"/>
      <c r="N6" s="23">
        <v>0.05</v>
      </c>
      <c r="O6" s="23">
        <f>(D6-C6)/C6</f>
        <v>8.6354442196981476E-3</v>
      </c>
      <c r="P6" s="24">
        <f>AVERAGE(N6:O6)</f>
        <v>2.9317722109849075E-2</v>
      </c>
      <c r="Q6" s="24">
        <f>AVERAGE($N$6:P6)</f>
        <v>2.9317722109849075E-2</v>
      </c>
      <c r="R6" s="24">
        <f t="shared" ref="R6:T7" si="1">AVERAGE(O6:Q6)</f>
        <v>2.2423629479798767E-2</v>
      </c>
      <c r="S6" s="24">
        <f t="shared" si="1"/>
        <v>2.7019691233165638E-2</v>
      </c>
      <c r="T6" s="24">
        <f t="shared" si="1"/>
        <v>2.6253680940937829E-2</v>
      </c>
    </row>
    <row r="7" spans="1:21">
      <c r="A7" s="3" t="s">
        <v>1</v>
      </c>
      <c r="B7" s="6">
        <v>8821000</v>
      </c>
      <c r="C7" s="6">
        <v>8155000</v>
      </c>
      <c r="D7" s="6">
        <v>8131000</v>
      </c>
      <c r="E7" s="6">
        <v>8844000</v>
      </c>
      <c r="F7" s="22">
        <f t="shared" ref="F7" si="2">B7*(1+P7)</f>
        <v>8475019.9877375849</v>
      </c>
      <c r="G7" s="22">
        <f t="shared" ref="G7" si="3">C7*(1+Q7)</f>
        <v>7835142.0473869173</v>
      </c>
      <c r="H7" s="22">
        <f t="shared" ref="H7" si="4">D7*(1+R7)</f>
        <v>7910412.4657513201</v>
      </c>
      <c r="I7" s="22">
        <f t="shared" ref="I7" si="5">E7*(1+S7)</f>
        <v>8532768.3648302909</v>
      </c>
      <c r="J7" s="22">
        <f t="shared" ref="J7" si="6">F7*(1+T7)</f>
        <v>8188160.9356841994</v>
      </c>
      <c r="L7" s="3" t="s">
        <v>1</v>
      </c>
      <c r="M7" s="3"/>
      <c r="N7" s="25">
        <f>(C7-B7)/B7</f>
        <v>-7.5501643804557303E-2</v>
      </c>
      <c r="O7" s="25">
        <f>(D7-C7)/C7</f>
        <v>-2.9429797670141016E-3</v>
      </c>
      <c r="P7" s="26">
        <f>AVERAGE(N7:O7)</f>
        <v>-3.9222311785785703E-2</v>
      </c>
      <c r="Q7" s="26">
        <f>AVERAGE(N7:P7)</f>
        <v>-3.9222311785785703E-2</v>
      </c>
      <c r="R7" s="26">
        <f t="shared" si="1"/>
        <v>-2.7129201112861837E-2</v>
      </c>
      <c r="S7" s="26">
        <f t="shared" si="1"/>
        <v>-3.5191274894811081E-2</v>
      </c>
      <c r="T7" s="26">
        <f t="shared" si="1"/>
        <v>-3.3847595931152878E-2</v>
      </c>
    </row>
    <row r="8" spans="1:21">
      <c r="A8" s="3" t="s">
        <v>2</v>
      </c>
      <c r="B8" s="6">
        <v>4726000</v>
      </c>
      <c r="C8" s="6">
        <v>4699000</v>
      </c>
      <c r="D8" s="6">
        <v>4834000</v>
      </c>
      <c r="E8" s="6">
        <f>E6-E7</f>
        <v>4681000</v>
      </c>
      <c r="F8" s="32">
        <f t="shared" ref="F8:J8" si="7">F6-F7</f>
        <v>5469147.1936845407</v>
      </c>
      <c r="G8" s="32">
        <f t="shared" si="7"/>
        <v>6109026.16335293</v>
      </c>
      <c r="H8" s="32">
        <f t="shared" si="7"/>
        <v>6033756.7674121559</v>
      </c>
      <c r="I8" s="32">
        <f t="shared" si="7"/>
        <v>5411401.8953528758</v>
      </c>
      <c r="J8" s="32">
        <f t="shared" si="7"/>
        <v>5756010.3507526489</v>
      </c>
      <c r="L8" s="3" t="s">
        <v>104</v>
      </c>
      <c r="M8" s="3">
        <f>ROUND((B12/B6),2)</f>
        <v>0.22</v>
      </c>
      <c r="N8" s="3">
        <f>ROUND((C12/C6),2)</f>
        <v>0.26</v>
      </c>
      <c r="O8" s="3">
        <f>ROUND((D12/D6),2)</f>
        <v>0.26</v>
      </c>
      <c r="P8" s="27">
        <f>AVERAGE(N8:O8)</f>
        <v>0.26</v>
      </c>
      <c r="Q8" s="27">
        <f t="shared" ref="Q8:Q10" si="8">AVERAGE(N8:P8)</f>
        <v>0.26</v>
      </c>
      <c r="R8" s="27">
        <f t="shared" ref="R8:R10" si="9">AVERAGE(O8:Q8)</f>
        <v>0.26</v>
      </c>
      <c r="S8" s="28">
        <f t="shared" ref="S8:S10" si="10">AVERAGE(P8:R8)</f>
        <v>0.26</v>
      </c>
      <c r="T8" s="28">
        <f t="shared" ref="T8:T10" si="11">AVERAGE(Q8:S8)</f>
        <v>0.26</v>
      </c>
    </row>
    <row r="9" spans="1:21">
      <c r="A9" s="49"/>
      <c r="B9" s="50"/>
      <c r="C9" s="50"/>
      <c r="D9" s="50"/>
      <c r="E9" s="51"/>
      <c r="F9" s="52"/>
      <c r="G9" s="53"/>
      <c r="H9" s="53"/>
      <c r="I9" s="53"/>
      <c r="J9" s="54"/>
      <c r="L9" s="3" t="s">
        <v>11</v>
      </c>
      <c r="M9" s="25">
        <f>(C18-B18)/B18</f>
        <v>-0.10801393728222997</v>
      </c>
      <c r="N9" s="25">
        <f>(D18-C18)/C18</f>
        <v>0.5859375</v>
      </c>
      <c r="O9" s="25">
        <f>(E18-D18)/D18</f>
        <v>-0.44088669950738918</v>
      </c>
      <c r="P9" s="26">
        <f t="shared" ref="P9:P10" si="12">AVERAGE(N9:O9)</f>
        <v>7.252540024630541E-2</v>
      </c>
      <c r="Q9" s="26">
        <f t="shared" si="8"/>
        <v>7.252540024630541E-2</v>
      </c>
      <c r="R9" s="26">
        <f t="shared" si="9"/>
        <v>-9.8611966338259457E-2</v>
      </c>
      <c r="S9" s="26">
        <f t="shared" si="10"/>
        <v>1.5479611384783787E-2</v>
      </c>
      <c r="T9" s="26">
        <f t="shared" si="11"/>
        <v>-3.5356515690567534E-3</v>
      </c>
      <c r="U9" s="19"/>
    </row>
    <row r="10" spans="1:21">
      <c r="A10" s="55" t="s">
        <v>3</v>
      </c>
      <c r="B10" s="56"/>
      <c r="C10" s="56"/>
      <c r="D10" s="56"/>
      <c r="E10" s="57"/>
      <c r="F10" s="58"/>
      <c r="G10" s="59"/>
      <c r="H10" s="59"/>
      <c r="I10" s="59"/>
      <c r="J10" s="60"/>
      <c r="L10" s="3" t="s">
        <v>100</v>
      </c>
      <c r="M10" s="29">
        <f>B20/B19</f>
        <v>0.13619262603461249</v>
      </c>
      <c r="N10" s="29">
        <f>C20/C19</f>
        <v>0.24743512371756185</v>
      </c>
      <c r="O10" s="29">
        <f>D20/D19</f>
        <v>0.25160599571734477</v>
      </c>
      <c r="P10" s="30">
        <f t="shared" si="12"/>
        <v>0.24952055971745329</v>
      </c>
      <c r="Q10" s="30">
        <f t="shared" si="8"/>
        <v>0.24952055971745332</v>
      </c>
      <c r="R10" s="30">
        <f t="shared" si="9"/>
        <v>0.25021570505075047</v>
      </c>
      <c r="S10" s="30">
        <f t="shared" si="10"/>
        <v>0.24975227482855233</v>
      </c>
      <c r="T10" s="30">
        <f t="shared" si="11"/>
        <v>0.24982951319891869</v>
      </c>
    </row>
    <row r="11" spans="1:21">
      <c r="A11" s="3" t="s">
        <v>4</v>
      </c>
      <c r="B11" s="6">
        <v>0</v>
      </c>
      <c r="C11" s="6">
        <v>0</v>
      </c>
      <c r="D11" s="6">
        <v>0</v>
      </c>
      <c r="E11" s="6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</row>
    <row r="12" spans="1:21">
      <c r="A12" s="3" t="s">
        <v>5</v>
      </c>
      <c r="B12" s="6">
        <v>3020000</v>
      </c>
      <c r="C12" s="6">
        <v>3312000</v>
      </c>
      <c r="D12" s="6">
        <v>3351000</v>
      </c>
      <c r="E12" s="6">
        <v>3590000</v>
      </c>
      <c r="F12" s="22">
        <f>B12*(1+P8)</f>
        <v>3805200</v>
      </c>
      <c r="G12" s="22">
        <f>F12*(1+Q8)</f>
        <v>4794552</v>
      </c>
      <c r="H12" s="22">
        <f t="shared" ref="H12:J12" si="13">G12*(1+R8)</f>
        <v>6041135.5200000005</v>
      </c>
      <c r="I12" s="22">
        <f t="shared" si="13"/>
        <v>7611830.7552000005</v>
      </c>
      <c r="J12" s="22">
        <f t="shared" si="13"/>
        <v>9590906.7515520006</v>
      </c>
    </row>
    <row r="13" spans="1:21">
      <c r="A13" s="3" t="s">
        <v>6</v>
      </c>
      <c r="B13" s="6">
        <v>0</v>
      </c>
      <c r="C13" s="6">
        <v>0</v>
      </c>
      <c r="D13" s="6">
        <v>0</v>
      </c>
      <c r="E13" s="6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</row>
    <row r="14" spans="1:21">
      <c r="A14" s="3" t="s">
        <v>7</v>
      </c>
      <c r="B14" s="6">
        <v>0</v>
      </c>
      <c r="C14" s="6">
        <v>0</v>
      </c>
      <c r="D14" s="6">
        <v>0</v>
      </c>
      <c r="E14" s="6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</row>
    <row r="15" spans="1:21">
      <c r="A15" s="3" t="s">
        <v>8</v>
      </c>
      <c r="B15" s="6">
        <v>1706000</v>
      </c>
      <c r="C15" s="6">
        <v>1387000</v>
      </c>
      <c r="D15" s="6">
        <v>1483000</v>
      </c>
      <c r="E15" s="6">
        <v>1091000</v>
      </c>
      <c r="F15" s="32">
        <f>F8-F12</f>
        <v>1663947.1936845407</v>
      </c>
      <c r="G15" s="32">
        <f t="shared" ref="G15:J15" si="14">G8-G12</f>
        <v>1314474.16335293</v>
      </c>
      <c r="H15" s="32">
        <f t="shared" si="14"/>
        <v>-7378.7525878446177</v>
      </c>
      <c r="I15" s="32">
        <f t="shared" si="14"/>
        <v>-2200428.8598471247</v>
      </c>
      <c r="J15" s="32">
        <f t="shared" si="14"/>
        <v>-3834896.4007993517</v>
      </c>
    </row>
    <row r="16" spans="1:21">
      <c r="A16" s="3" t="s">
        <v>9</v>
      </c>
      <c r="B16" s="6">
        <v>-90000</v>
      </c>
      <c r="C16" s="6">
        <v>526000</v>
      </c>
      <c r="D16" s="6">
        <v>-143000</v>
      </c>
      <c r="E16" s="6">
        <v>-91000</v>
      </c>
      <c r="F16" s="33">
        <v>97667</v>
      </c>
      <c r="G16" s="33">
        <v>97667</v>
      </c>
      <c r="H16" s="33">
        <v>97667</v>
      </c>
      <c r="I16" s="33">
        <v>97667</v>
      </c>
      <c r="J16" s="33">
        <v>97667</v>
      </c>
    </row>
    <row r="17" spans="1:10">
      <c r="A17" s="3" t="s">
        <v>10</v>
      </c>
      <c r="B17" s="6">
        <v>1616000</v>
      </c>
      <c r="C17" s="6">
        <v>1913000</v>
      </c>
      <c r="D17" s="6">
        <v>1340000</v>
      </c>
      <c r="E17" s="6">
        <v>1000000</v>
      </c>
      <c r="F17" s="32">
        <f>SUM(F15:F16)</f>
        <v>1761614.1936845407</v>
      </c>
      <c r="G17" s="32">
        <f t="shared" ref="G17:J17" si="15">SUM(G15:G16)</f>
        <v>1412141.16335293</v>
      </c>
      <c r="H17" s="32">
        <f t="shared" si="15"/>
        <v>90288.247412155382</v>
      </c>
      <c r="I17" s="32">
        <f t="shared" si="15"/>
        <v>-2102761.8598471247</v>
      </c>
      <c r="J17" s="32">
        <f t="shared" si="15"/>
        <v>-3737229.4007993517</v>
      </c>
    </row>
    <row r="18" spans="1:10">
      <c r="A18" s="3" t="s">
        <v>11</v>
      </c>
      <c r="B18" s="6">
        <v>287000</v>
      </c>
      <c r="C18" s="6">
        <v>256000</v>
      </c>
      <c r="D18" s="6">
        <v>406000</v>
      </c>
      <c r="E18" s="6">
        <v>227000</v>
      </c>
      <c r="F18" s="33">
        <f>B18*(1+P9)</f>
        <v>307814.78987068962</v>
      </c>
      <c r="G18" s="33">
        <f>F18*(1+Q9)</f>
        <v>330139.1807077938</v>
      </c>
      <c r="H18" s="33">
        <f t="shared" ref="H18:J18" si="16">G18*(1+R9)</f>
        <v>297583.50693289627</v>
      </c>
      <c r="I18" s="33">
        <f t="shared" si="16"/>
        <v>302189.98397473857</v>
      </c>
      <c r="J18" s="33">
        <f t="shared" si="16"/>
        <v>301121.54548374505</v>
      </c>
    </row>
    <row r="19" spans="1:10">
      <c r="A19" s="3" t="s">
        <v>12</v>
      </c>
      <c r="B19" s="6">
        <v>1329000</v>
      </c>
      <c r="C19" s="6">
        <v>1657000</v>
      </c>
      <c r="D19" s="6">
        <v>934000</v>
      </c>
      <c r="E19" s="6">
        <v>773000</v>
      </c>
      <c r="F19" s="28">
        <f>F17-F18</f>
        <v>1453799.4038138511</v>
      </c>
      <c r="G19" s="28">
        <f t="shared" ref="G19:J19" si="17">G17-G18</f>
        <v>1082001.9826451363</v>
      </c>
      <c r="H19" s="36">
        <f t="shared" si="17"/>
        <v>-207295.25952074089</v>
      </c>
      <c r="I19" s="36">
        <f t="shared" si="17"/>
        <v>-2404951.8438218632</v>
      </c>
      <c r="J19" s="36">
        <f t="shared" si="17"/>
        <v>-4038350.9462830969</v>
      </c>
    </row>
    <row r="20" spans="1:10">
      <c r="A20" s="3" t="s">
        <v>13</v>
      </c>
      <c r="B20" s="6">
        <v>181000</v>
      </c>
      <c r="C20" s="6">
        <v>410000</v>
      </c>
      <c r="D20" s="6">
        <v>235000</v>
      </c>
      <c r="E20" s="6">
        <v>159000</v>
      </c>
      <c r="F20" s="28">
        <f>F19*P10</f>
        <v>362752.84095653205</v>
      </c>
      <c r="G20" s="28">
        <f t="shared" ref="G20:J20" si="18">G19*Q10</f>
        <v>269981.74032500864</v>
      </c>
      <c r="H20" s="36">
        <f t="shared" si="18"/>
        <v>-51868.529514660477</v>
      </c>
      <c r="I20" s="36">
        <f t="shared" si="18"/>
        <v>-600642.19384763169</v>
      </c>
      <c r="J20" s="36">
        <f t="shared" si="18"/>
        <v>-1008899.2510362987</v>
      </c>
    </row>
    <row r="21" spans="1:10">
      <c r="A21" s="3" t="s">
        <v>14</v>
      </c>
      <c r="B21" s="6">
        <v>-8000</v>
      </c>
      <c r="C21" s="6">
        <v>0</v>
      </c>
      <c r="D21" s="6">
        <v>-1000</v>
      </c>
      <c r="E21" s="6">
        <v>0</v>
      </c>
      <c r="F21" s="34">
        <v>-8000</v>
      </c>
      <c r="G21" s="34">
        <v>-8000</v>
      </c>
      <c r="H21" s="34">
        <v>-8000</v>
      </c>
      <c r="I21" s="34">
        <v>-8000</v>
      </c>
      <c r="J21" s="34">
        <v>-8000</v>
      </c>
    </row>
    <row r="22" spans="1:10">
      <c r="A22" s="3" t="s">
        <v>15</v>
      </c>
      <c r="B22" s="6">
        <v>196000</v>
      </c>
      <c r="C22" s="6">
        <v>7000</v>
      </c>
      <c r="D22" s="6">
        <v>1000</v>
      </c>
      <c r="E22" s="6">
        <v>0</v>
      </c>
      <c r="F22" s="33">
        <v>196000</v>
      </c>
      <c r="G22" s="33">
        <v>196000</v>
      </c>
      <c r="H22" s="33">
        <v>196000</v>
      </c>
      <c r="I22" s="33">
        <v>196000</v>
      </c>
      <c r="J22" s="33">
        <v>196000</v>
      </c>
    </row>
    <row r="23" spans="1:10">
      <c r="A23" s="3"/>
      <c r="B23" s="6"/>
      <c r="C23" s="6"/>
      <c r="D23" s="6"/>
      <c r="E23" s="6"/>
      <c r="F23" s="22"/>
      <c r="G23" s="22"/>
      <c r="H23" s="22"/>
      <c r="I23" s="22"/>
      <c r="J23" s="22"/>
    </row>
    <row r="24" spans="1:10">
      <c r="A24" s="3" t="s">
        <v>16</v>
      </c>
      <c r="B24" s="6">
        <v>1336000</v>
      </c>
      <c r="C24" s="6">
        <v>1254000</v>
      </c>
      <c r="D24" s="6">
        <v>699000</v>
      </c>
      <c r="E24" s="6">
        <v>614000</v>
      </c>
      <c r="F24" s="28">
        <f>F19-F20+F21+F22</f>
        <v>1279046.5628573191</v>
      </c>
      <c r="G24" s="28">
        <f t="shared" ref="G24:J24" si="19">G19-G20+G21+G22</f>
        <v>1000020.2423201277</v>
      </c>
      <c r="H24" s="28">
        <f t="shared" si="19"/>
        <v>32573.269993919588</v>
      </c>
      <c r="I24" s="28">
        <f t="shared" si="19"/>
        <v>-1616309.6499742316</v>
      </c>
      <c r="J24" s="28">
        <f t="shared" si="19"/>
        <v>-2841451.695246798</v>
      </c>
    </row>
    <row r="25" spans="1:10">
      <c r="A25" s="3" t="s">
        <v>17</v>
      </c>
      <c r="B25" s="6">
        <v>1336000</v>
      </c>
      <c r="C25" s="6">
        <v>1254000</v>
      </c>
      <c r="D25" s="6">
        <v>699000</v>
      </c>
      <c r="E25" s="6">
        <v>614000</v>
      </c>
      <c r="F25" s="28">
        <f>F24</f>
        <v>1279046.5628573191</v>
      </c>
      <c r="G25" s="28">
        <f t="shared" ref="G25:J26" si="20">G24</f>
        <v>1000020.2423201277</v>
      </c>
      <c r="H25" s="28">
        <f t="shared" si="20"/>
        <v>32573.269993919588</v>
      </c>
      <c r="I25" s="28">
        <f t="shared" si="20"/>
        <v>-1616309.6499742316</v>
      </c>
      <c r="J25" s="28">
        <f t="shared" si="20"/>
        <v>-2841451.695246798</v>
      </c>
    </row>
    <row r="26" spans="1:10">
      <c r="A26" s="3" t="s">
        <v>18</v>
      </c>
      <c r="B26" s="6">
        <v>1336000</v>
      </c>
      <c r="C26" s="6">
        <v>1254000</v>
      </c>
      <c r="D26" s="6">
        <v>699000</v>
      </c>
      <c r="E26" s="6">
        <v>614000</v>
      </c>
      <c r="F26" s="28">
        <f>F25</f>
        <v>1279046.5628573191</v>
      </c>
      <c r="G26" s="28">
        <f t="shared" si="20"/>
        <v>1000020.2423201277</v>
      </c>
      <c r="H26" s="28">
        <f t="shared" si="20"/>
        <v>32573.269993919588</v>
      </c>
      <c r="I26" s="28">
        <f t="shared" si="20"/>
        <v>-1616309.6499742316</v>
      </c>
      <c r="J26" s="28">
        <f t="shared" si="20"/>
        <v>-2841451.695246798</v>
      </c>
    </row>
  </sheetData>
  <mergeCells count="6">
    <mergeCell ref="P4:T4"/>
    <mergeCell ref="A9:E9"/>
    <mergeCell ref="F9:J9"/>
    <mergeCell ref="A10:E10"/>
    <mergeCell ref="F10:J10"/>
    <mergeCell ref="F4:J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E40"/>
  <sheetViews>
    <sheetView workbookViewId="0">
      <selection activeCell="H9" sqref="H9"/>
    </sheetView>
  </sheetViews>
  <sheetFormatPr defaultRowHeight="15"/>
  <cols>
    <col min="1" max="1" width="47.85546875" customWidth="1"/>
    <col min="2" max="5" width="11.85546875" bestFit="1" customWidth="1"/>
  </cols>
  <sheetData>
    <row r="2" spans="1:5">
      <c r="A2" s="2" t="s">
        <v>74</v>
      </c>
    </row>
    <row r="3" spans="1:5">
      <c r="A3" s="2"/>
    </row>
    <row r="4" spans="1:5">
      <c r="A4" s="3"/>
      <c r="B4" s="31">
        <v>2018</v>
      </c>
      <c r="C4" s="31">
        <v>2017</v>
      </c>
      <c r="D4" s="31">
        <v>2016</v>
      </c>
      <c r="E4" s="31">
        <v>2015</v>
      </c>
    </row>
    <row r="5" spans="1:5">
      <c r="A5" s="5" t="s">
        <v>19</v>
      </c>
      <c r="B5" s="5"/>
      <c r="C5" s="5"/>
      <c r="D5" s="5"/>
      <c r="E5" s="5"/>
    </row>
    <row r="6" spans="1:5">
      <c r="A6" s="3" t="s">
        <v>20</v>
      </c>
      <c r="B6" s="6">
        <v>321000</v>
      </c>
      <c r="C6" s="6">
        <v>281000</v>
      </c>
      <c r="D6" s="6">
        <v>280000</v>
      </c>
      <c r="E6" s="6">
        <v>251000</v>
      </c>
    </row>
    <row r="7" spans="1:5">
      <c r="A7" s="3" t="s">
        <v>21</v>
      </c>
      <c r="B7" s="6">
        <v>0</v>
      </c>
      <c r="C7" s="6">
        <v>0</v>
      </c>
      <c r="D7" s="6">
        <v>0</v>
      </c>
      <c r="E7" s="6">
        <v>0</v>
      </c>
    </row>
    <row r="8" spans="1:5">
      <c r="A8" s="3" t="s">
        <v>22</v>
      </c>
      <c r="B8" s="6">
        <v>1375000</v>
      </c>
      <c r="C8" s="6">
        <v>1389000</v>
      </c>
      <c r="D8" s="6">
        <v>1231000</v>
      </c>
      <c r="E8" s="6">
        <v>1344000</v>
      </c>
    </row>
    <row r="9" spans="1:5">
      <c r="A9" s="3" t="s">
        <v>23</v>
      </c>
      <c r="B9" s="6">
        <v>1330000</v>
      </c>
      <c r="C9" s="6">
        <v>1217000</v>
      </c>
      <c r="D9" s="6">
        <v>1238000</v>
      </c>
      <c r="E9" s="6">
        <v>1250000</v>
      </c>
    </row>
    <row r="10" spans="1:5">
      <c r="A10" s="3" t="s">
        <v>24</v>
      </c>
      <c r="B10" s="6">
        <v>131000</v>
      </c>
      <c r="C10" s="6">
        <v>149000</v>
      </c>
      <c r="D10" s="6">
        <v>191000</v>
      </c>
      <c r="E10" s="6">
        <v>391000</v>
      </c>
    </row>
    <row r="11" spans="1:5">
      <c r="A11" s="3" t="s">
        <v>25</v>
      </c>
      <c r="B11" s="6">
        <v>3157000</v>
      </c>
      <c r="C11" s="6">
        <v>3036000</v>
      </c>
      <c r="D11" s="6">
        <v>2940000</v>
      </c>
      <c r="E11" s="6">
        <v>3236000</v>
      </c>
    </row>
    <row r="12" spans="1:5">
      <c r="A12" s="7" t="s">
        <v>26</v>
      </c>
      <c r="B12" s="3"/>
      <c r="C12" s="3"/>
      <c r="D12" s="3"/>
      <c r="E12" s="3"/>
    </row>
    <row r="13" spans="1:5">
      <c r="A13" s="3" t="s">
        <v>27</v>
      </c>
      <c r="B13" s="6">
        <v>413000</v>
      </c>
      <c r="C13" s="6">
        <v>429000</v>
      </c>
      <c r="D13" s="6">
        <v>438000</v>
      </c>
      <c r="E13" s="6">
        <v>456000</v>
      </c>
    </row>
    <row r="14" spans="1:5">
      <c r="A14" s="3" t="s">
        <v>28</v>
      </c>
      <c r="B14" s="6">
        <v>3731000</v>
      </c>
      <c r="C14" s="6">
        <v>3716000</v>
      </c>
      <c r="D14" s="6">
        <v>3569000</v>
      </c>
      <c r="E14" s="6">
        <v>3621000</v>
      </c>
    </row>
    <row r="15" spans="1:5">
      <c r="A15" s="3" t="s">
        <v>29</v>
      </c>
      <c r="B15" s="6">
        <v>6050000</v>
      </c>
      <c r="C15" s="6">
        <v>5504000</v>
      </c>
      <c r="D15" s="6">
        <v>5166000</v>
      </c>
      <c r="E15" s="6">
        <v>4968000</v>
      </c>
    </row>
    <row r="16" spans="1:5">
      <c r="A16" s="3" t="s">
        <v>30</v>
      </c>
      <c r="B16" s="6">
        <v>3361000</v>
      </c>
      <c r="C16" s="6">
        <v>2639000</v>
      </c>
      <c r="D16" s="6">
        <v>2369000</v>
      </c>
      <c r="E16" s="6">
        <v>2268000</v>
      </c>
    </row>
    <row r="17" spans="1:5">
      <c r="A17" s="3" t="s">
        <v>31</v>
      </c>
      <c r="B17" s="6">
        <v>1068000</v>
      </c>
      <c r="C17" s="6">
        <v>1027000</v>
      </c>
      <c r="D17" s="6">
        <v>629000</v>
      </c>
      <c r="E17" s="6">
        <v>702000</v>
      </c>
    </row>
    <row r="18" spans="1:5">
      <c r="A18" s="3" t="s">
        <v>32</v>
      </c>
      <c r="B18" s="6">
        <v>0</v>
      </c>
      <c r="C18" s="6">
        <v>0</v>
      </c>
      <c r="D18" s="6">
        <v>0</v>
      </c>
      <c r="E18" s="6">
        <v>0</v>
      </c>
    </row>
    <row r="19" spans="1:5">
      <c r="A19" s="3" t="s">
        <v>33</v>
      </c>
      <c r="B19" s="6">
        <v>17780000</v>
      </c>
      <c r="C19" s="6">
        <v>16351000</v>
      </c>
      <c r="D19" s="6">
        <v>15111000</v>
      </c>
      <c r="E19" s="6">
        <v>15251000</v>
      </c>
    </row>
    <row r="20" spans="1:5">
      <c r="A20" s="3"/>
      <c r="B20" s="6"/>
      <c r="C20" s="6"/>
      <c r="D20" s="6"/>
      <c r="E20" s="6"/>
    </row>
    <row r="21" spans="1:5">
      <c r="A21" s="5" t="s">
        <v>34</v>
      </c>
      <c r="B21" s="5"/>
      <c r="C21" s="5"/>
      <c r="D21" s="5"/>
      <c r="E21" s="5"/>
    </row>
    <row r="22" spans="1:5">
      <c r="A22" s="3" t="s">
        <v>35</v>
      </c>
      <c r="B22" s="6">
        <v>2427000</v>
      </c>
      <c r="C22" s="6">
        <v>2269000</v>
      </c>
      <c r="D22" s="6">
        <v>2014000</v>
      </c>
      <c r="E22" s="6">
        <v>1907000</v>
      </c>
    </row>
    <row r="23" spans="1:5">
      <c r="A23" s="3" t="s">
        <v>36</v>
      </c>
      <c r="B23" s="6">
        <v>686000</v>
      </c>
      <c r="C23" s="6">
        <v>779000</v>
      </c>
      <c r="D23" s="6">
        <v>1069000</v>
      </c>
      <c r="E23" s="6">
        <v>2470000</v>
      </c>
    </row>
    <row r="24" spans="1:5">
      <c r="A24" s="3" t="s">
        <v>37</v>
      </c>
      <c r="B24" s="6">
        <v>1416000</v>
      </c>
      <c r="C24" s="6">
        <v>1474000</v>
      </c>
      <c r="D24" s="6">
        <v>1391000</v>
      </c>
      <c r="E24" s="6">
        <v>1362000</v>
      </c>
    </row>
    <row r="25" spans="1:5">
      <c r="A25" s="3" t="s">
        <v>38</v>
      </c>
      <c r="B25" s="6">
        <v>4529000</v>
      </c>
      <c r="C25" s="6">
        <v>4522000</v>
      </c>
      <c r="D25" s="6">
        <v>4474000</v>
      </c>
      <c r="E25" s="6">
        <v>5739000</v>
      </c>
    </row>
    <row r="26" spans="1:5">
      <c r="A26" s="3" t="s">
        <v>39</v>
      </c>
      <c r="B26" s="6">
        <v>8207000</v>
      </c>
      <c r="C26" s="6">
        <v>7836000</v>
      </c>
      <c r="D26" s="6">
        <v>6698000</v>
      </c>
      <c r="E26" s="6">
        <v>5275000</v>
      </c>
    </row>
    <row r="27" spans="1:5">
      <c r="A27" s="3" t="s">
        <v>40</v>
      </c>
      <c r="B27" s="6">
        <v>1155000</v>
      </c>
      <c r="C27" s="6">
        <v>1444000</v>
      </c>
      <c r="D27" s="6">
        <v>1488000</v>
      </c>
      <c r="E27" s="6">
        <v>1414000</v>
      </c>
    </row>
    <row r="28" spans="1:5">
      <c r="A28" s="3" t="s">
        <v>41</v>
      </c>
      <c r="B28" s="6">
        <v>730000</v>
      </c>
      <c r="C28" s="6">
        <v>355000</v>
      </c>
      <c r="D28" s="6">
        <v>525000</v>
      </c>
      <c r="E28" s="6">
        <v>685000</v>
      </c>
    </row>
    <row r="29" spans="1:5">
      <c r="A29" s="3" t="s">
        <v>42</v>
      </c>
      <c r="B29" s="6">
        <v>0</v>
      </c>
      <c r="C29" s="6">
        <v>0</v>
      </c>
      <c r="D29" s="6">
        <v>0</v>
      </c>
      <c r="E29" s="6">
        <v>0</v>
      </c>
    </row>
    <row r="30" spans="1:5">
      <c r="A30" s="3" t="s">
        <v>14</v>
      </c>
      <c r="B30" s="6">
        <v>558000</v>
      </c>
      <c r="C30" s="6">
        <v>16000</v>
      </c>
      <c r="D30" s="6">
        <v>16000</v>
      </c>
      <c r="E30" s="6">
        <v>10000</v>
      </c>
    </row>
    <row r="31" spans="1:5">
      <c r="A31" s="3" t="s">
        <v>43</v>
      </c>
      <c r="B31" s="6">
        <v>15179000</v>
      </c>
      <c r="C31" s="6">
        <v>14173000</v>
      </c>
      <c r="D31" s="6">
        <v>13201000</v>
      </c>
      <c r="E31" s="6">
        <v>13123000</v>
      </c>
    </row>
    <row r="32" spans="1:5">
      <c r="A32" s="3"/>
      <c r="B32" s="6"/>
      <c r="C32" s="6"/>
      <c r="D32" s="6"/>
      <c r="E32" s="6"/>
    </row>
    <row r="33" spans="1:5">
      <c r="A33" s="5" t="s">
        <v>44</v>
      </c>
      <c r="B33" s="5"/>
      <c r="C33" s="5"/>
      <c r="D33" s="5"/>
      <c r="E33" s="5"/>
    </row>
    <row r="34" spans="1:5">
      <c r="A34" s="3" t="s">
        <v>45</v>
      </c>
      <c r="B34" s="6">
        <v>105000</v>
      </c>
      <c r="C34" s="6">
        <v>105000</v>
      </c>
      <c r="D34" s="6">
        <v>105000</v>
      </c>
      <c r="E34" s="6">
        <v>105000</v>
      </c>
    </row>
    <row r="35" spans="1:5">
      <c r="A35" s="3" t="s">
        <v>46</v>
      </c>
      <c r="B35" s="6">
        <v>895000</v>
      </c>
      <c r="C35" s="6">
        <v>878000</v>
      </c>
      <c r="D35" s="6">
        <v>806000</v>
      </c>
      <c r="E35" s="6">
        <v>745000</v>
      </c>
    </row>
    <row r="36" spans="1:5">
      <c r="A36" s="3" t="s">
        <v>47</v>
      </c>
      <c r="B36" s="6">
        <v>7652000</v>
      </c>
      <c r="C36" s="6">
        <v>7069000</v>
      </c>
      <c r="D36" s="6">
        <v>6571000</v>
      </c>
      <c r="E36" s="6">
        <v>6597000</v>
      </c>
    </row>
    <row r="37" spans="1:5">
      <c r="A37" s="3" t="s">
        <v>48</v>
      </c>
      <c r="B37" s="6">
        <v>-4551000</v>
      </c>
      <c r="C37" s="6">
        <v>-4417000</v>
      </c>
      <c r="D37" s="6">
        <v>-3997000</v>
      </c>
      <c r="E37" s="6">
        <v>-3943000</v>
      </c>
    </row>
    <row r="38" spans="1:5">
      <c r="A38" s="3" t="s">
        <v>49</v>
      </c>
      <c r="B38" s="6">
        <v>-1500000</v>
      </c>
      <c r="C38" s="6">
        <v>-1457000</v>
      </c>
      <c r="D38" s="6">
        <v>-1575000</v>
      </c>
      <c r="E38" s="6">
        <v>-1376000</v>
      </c>
    </row>
    <row r="39" spans="1:5">
      <c r="A39" s="3" t="s">
        <v>50</v>
      </c>
      <c r="B39" s="6">
        <v>2601000</v>
      </c>
      <c r="C39" s="6">
        <v>2178000</v>
      </c>
      <c r="D39" s="6">
        <v>1910000</v>
      </c>
      <c r="E39" s="6">
        <v>2128000</v>
      </c>
    </row>
    <row r="40" spans="1:5">
      <c r="A40" s="3" t="s">
        <v>51</v>
      </c>
      <c r="B40" s="6">
        <v>17780000</v>
      </c>
      <c r="C40" s="6">
        <v>16351000</v>
      </c>
      <c r="D40" s="6">
        <v>15111000</v>
      </c>
      <c r="E40" s="6">
        <v>15251000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E32"/>
  <sheetViews>
    <sheetView workbookViewId="0">
      <selection activeCell="A5" sqref="A5:E5"/>
    </sheetView>
  </sheetViews>
  <sheetFormatPr defaultRowHeight="15"/>
  <cols>
    <col min="1" max="1" width="37.7109375" customWidth="1"/>
    <col min="2" max="2" width="10.85546875" bestFit="1" customWidth="1"/>
    <col min="3" max="3" width="11.5703125" bestFit="1" customWidth="1"/>
    <col min="4" max="4" width="10.85546875" bestFit="1" customWidth="1"/>
    <col min="5" max="5" width="11.5703125" bestFit="1" customWidth="1"/>
  </cols>
  <sheetData>
    <row r="2" spans="1:5">
      <c r="A2" s="2" t="s">
        <v>73</v>
      </c>
    </row>
    <row r="5" spans="1:5">
      <c r="A5" s="3"/>
      <c r="B5" s="31">
        <v>2018</v>
      </c>
      <c r="C5" s="31">
        <v>2017</v>
      </c>
      <c r="D5" s="31">
        <v>2016</v>
      </c>
      <c r="E5" s="31">
        <v>2015</v>
      </c>
    </row>
    <row r="6" spans="1:5">
      <c r="A6" s="3" t="s">
        <v>17</v>
      </c>
      <c r="B6" s="6">
        <v>1336000</v>
      </c>
      <c r="C6" s="6">
        <v>1254000</v>
      </c>
      <c r="D6" s="6">
        <v>699000</v>
      </c>
      <c r="E6" s="6">
        <v>614000</v>
      </c>
    </row>
    <row r="7" spans="1:5">
      <c r="A7" s="3"/>
      <c r="B7" s="6"/>
      <c r="C7" s="6"/>
      <c r="D7" s="6"/>
      <c r="E7" s="6"/>
    </row>
    <row r="8" spans="1:5">
      <c r="A8" s="8" t="s">
        <v>52</v>
      </c>
      <c r="B8" s="8"/>
      <c r="C8" s="8"/>
      <c r="D8" s="8"/>
      <c r="E8" s="8"/>
    </row>
    <row r="9" spans="1:5">
      <c r="A9" s="3" t="s">
        <v>53</v>
      </c>
      <c r="B9" s="6">
        <v>516000</v>
      </c>
      <c r="C9" s="6">
        <v>481000</v>
      </c>
      <c r="D9" s="6">
        <v>517000</v>
      </c>
      <c r="E9" s="6">
        <v>534000</v>
      </c>
    </row>
    <row r="10" spans="1:5">
      <c r="A10" s="3" t="s">
        <v>54</v>
      </c>
      <c r="B10" s="6">
        <v>-275000</v>
      </c>
      <c r="C10" s="6">
        <v>-292000</v>
      </c>
      <c r="D10" s="6">
        <v>357000</v>
      </c>
      <c r="E10" s="6">
        <v>276000</v>
      </c>
    </row>
    <row r="11" spans="1:5">
      <c r="A11" s="3"/>
      <c r="B11" s="6"/>
      <c r="C11" s="6"/>
      <c r="D11" s="6"/>
      <c r="E11" s="6"/>
    </row>
    <row r="12" spans="1:5">
      <c r="A12" s="8" t="s">
        <v>55</v>
      </c>
      <c r="B12" s="8"/>
      <c r="C12" s="8"/>
      <c r="D12" s="8"/>
      <c r="E12" s="8"/>
    </row>
    <row r="13" spans="1:5">
      <c r="A13" s="3" t="s">
        <v>56</v>
      </c>
      <c r="B13" s="6">
        <v>76000</v>
      </c>
      <c r="C13" s="6">
        <v>-1300000</v>
      </c>
      <c r="D13" s="6">
        <v>-480000</v>
      </c>
      <c r="E13" s="6">
        <v>-127000</v>
      </c>
    </row>
    <row r="14" spans="1:5">
      <c r="A14" s="3" t="s">
        <v>57</v>
      </c>
      <c r="B14" s="6">
        <v>-86000</v>
      </c>
      <c r="C14" s="6">
        <v>80000</v>
      </c>
      <c r="D14" s="6">
        <v>7000</v>
      </c>
      <c r="E14" s="6">
        <v>-42000</v>
      </c>
    </row>
    <row r="15" spans="1:5">
      <c r="A15" s="3" t="s">
        <v>58</v>
      </c>
      <c r="B15" s="6">
        <v>-154000</v>
      </c>
      <c r="C15" s="6">
        <v>-13000</v>
      </c>
      <c r="D15" s="6">
        <v>46000</v>
      </c>
      <c r="E15" s="6">
        <v>-52000</v>
      </c>
    </row>
    <row r="16" spans="1:5">
      <c r="A16" s="3" t="s">
        <v>59</v>
      </c>
      <c r="B16" s="6">
        <v>115000</v>
      </c>
      <c r="C16" s="6">
        <v>193000</v>
      </c>
      <c r="D16" s="6">
        <v>124000</v>
      </c>
      <c r="E16" s="6">
        <v>488000</v>
      </c>
    </row>
    <row r="17" spans="1:5">
      <c r="A17" s="3" t="s">
        <v>60</v>
      </c>
      <c r="B17" s="6">
        <v>1536000</v>
      </c>
      <c r="C17" s="6">
        <v>403000</v>
      </c>
      <c r="D17" s="6">
        <v>1271000</v>
      </c>
      <c r="E17" s="6">
        <v>1691000</v>
      </c>
    </row>
    <row r="18" spans="1:5">
      <c r="A18" s="3"/>
      <c r="B18" s="6"/>
      <c r="C18" s="6"/>
      <c r="D18" s="6"/>
      <c r="E18" s="6"/>
    </row>
    <row r="19" spans="1:5">
      <c r="A19" s="8" t="s">
        <v>61</v>
      </c>
      <c r="B19" s="8"/>
      <c r="C19" s="8"/>
      <c r="D19" s="8"/>
      <c r="E19" s="8"/>
    </row>
    <row r="20" spans="1:5">
      <c r="A20" s="3" t="s">
        <v>62</v>
      </c>
      <c r="B20" s="6">
        <v>-578000</v>
      </c>
      <c r="C20" s="6">
        <v>-501000</v>
      </c>
      <c r="D20" s="6">
        <v>-507000</v>
      </c>
      <c r="E20" s="6">
        <v>-553000</v>
      </c>
    </row>
    <row r="21" spans="1:5">
      <c r="A21" s="3" t="s">
        <v>63</v>
      </c>
      <c r="B21" s="6">
        <v>-397000</v>
      </c>
      <c r="C21" s="6">
        <v>1236000</v>
      </c>
      <c r="D21" s="6">
        <v>526000</v>
      </c>
      <c r="E21" s="6">
        <v>-456000</v>
      </c>
    </row>
    <row r="22" spans="1:5">
      <c r="A22" s="3" t="s">
        <v>64</v>
      </c>
      <c r="B22" s="6">
        <v>27000</v>
      </c>
      <c r="C22" s="6">
        <v>-586000</v>
      </c>
      <c r="D22" s="6">
        <v>-411000</v>
      </c>
      <c r="E22" s="6">
        <v>-118000</v>
      </c>
    </row>
    <row r="23" spans="1:5">
      <c r="A23" s="3" t="s">
        <v>65</v>
      </c>
      <c r="B23" s="6">
        <v>-948000</v>
      </c>
      <c r="C23" s="6">
        <v>149000</v>
      </c>
      <c r="D23" s="6">
        <v>-392000</v>
      </c>
      <c r="E23" s="6">
        <v>-1127000</v>
      </c>
    </row>
    <row r="24" spans="1:5">
      <c r="A24" s="3"/>
      <c r="B24" s="6"/>
      <c r="C24" s="6"/>
      <c r="D24" s="6"/>
      <c r="E24" s="6"/>
    </row>
    <row r="25" spans="1:5">
      <c r="A25" s="8" t="s">
        <v>66</v>
      </c>
      <c r="B25" s="8"/>
      <c r="C25" s="8"/>
      <c r="D25" s="8"/>
      <c r="E25" s="8"/>
    </row>
    <row r="26" spans="1:5">
      <c r="A26" s="3" t="s">
        <v>67</v>
      </c>
      <c r="B26" s="6">
        <v>-153000</v>
      </c>
      <c r="C26" s="6">
        <v>-419000</v>
      </c>
      <c r="D26" s="6">
        <v>-58000</v>
      </c>
      <c r="E26" s="6">
        <v>-470000</v>
      </c>
    </row>
    <row r="27" spans="1:5">
      <c r="A27" s="3" t="s">
        <v>68</v>
      </c>
      <c r="B27" s="6">
        <v>624000</v>
      </c>
      <c r="C27" s="6">
        <v>398000</v>
      </c>
      <c r="D27" s="6">
        <v>1050000</v>
      </c>
      <c r="E27" s="6">
        <v>21000</v>
      </c>
    </row>
    <row r="28" spans="1:5">
      <c r="A28" s="3" t="s">
        <v>69</v>
      </c>
      <c r="B28" s="6">
        <v>-11000</v>
      </c>
      <c r="C28" s="6">
        <v>0</v>
      </c>
      <c r="D28" s="6">
        <v>-144000</v>
      </c>
      <c r="E28" s="6">
        <v>0</v>
      </c>
    </row>
    <row r="29" spans="1:5">
      <c r="A29" s="3"/>
      <c r="B29" s="6"/>
      <c r="C29" s="6"/>
      <c r="D29" s="6"/>
      <c r="E29" s="6"/>
    </row>
    <row r="30" spans="1:5">
      <c r="A30" s="3" t="s">
        <v>70</v>
      </c>
      <c r="B30" s="6">
        <v>-566000</v>
      </c>
      <c r="C30" s="6">
        <v>-604000</v>
      </c>
      <c r="D30" s="6">
        <v>-786000</v>
      </c>
      <c r="E30" s="6">
        <v>-706000</v>
      </c>
    </row>
    <row r="31" spans="1:5">
      <c r="A31" s="3" t="s">
        <v>71</v>
      </c>
      <c r="B31" s="6">
        <v>18000</v>
      </c>
      <c r="C31" s="6">
        <v>53000</v>
      </c>
      <c r="D31" s="6">
        <v>-64000</v>
      </c>
      <c r="E31" s="6">
        <v>-50000</v>
      </c>
    </row>
    <row r="32" spans="1:5">
      <c r="A32" s="3" t="s">
        <v>72</v>
      </c>
      <c r="B32" s="6">
        <v>40000</v>
      </c>
      <c r="C32" s="6">
        <v>1000</v>
      </c>
      <c r="D32" s="6">
        <v>29000</v>
      </c>
      <c r="E32" s="6">
        <v>-192000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G12"/>
  <sheetViews>
    <sheetView workbookViewId="0">
      <selection activeCell="E19" sqref="E19"/>
    </sheetView>
  </sheetViews>
  <sheetFormatPr defaultRowHeight="15"/>
  <cols>
    <col min="2" max="2" width="25.140625" customWidth="1"/>
    <col min="3" max="3" width="11.140625" customWidth="1"/>
  </cols>
  <sheetData>
    <row r="2" spans="1:7">
      <c r="A2" s="2" t="s">
        <v>146</v>
      </c>
    </row>
    <row r="3" spans="1:7">
      <c r="A3" s="2"/>
    </row>
    <row r="7" spans="1:7">
      <c r="B7" s="3" t="s">
        <v>76</v>
      </c>
      <c r="C7" s="9">
        <v>-1.3899999999999999E-2</v>
      </c>
      <c r="G7">
        <v>1.39</v>
      </c>
    </row>
    <row r="8" spans="1:7">
      <c r="B8" s="3" t="s">
        <v>77</v>
      </c>
      <c r="C8" s="9">
        <v>-3.2000000000000002E-3</v>
      </c>
      <c r="G8">
        <v>0.32</v>
      </c>
    </row>
    <row r="9" spans="1:7">
      <c r="B9" s="3" t="s">
        <v>78</v>
      </c>
      <c r="C9" s="3">
        <v>0.5</v>
      </c>
      <c r="G9">
        <v>0.5</v>
      </c>
    </row>
    <row r="12" spans="1:7">
      <c r="B12" t="s">
        <v>84</v>
      </c>
      <c r="C12" s="45">
        <v>-8.6E-3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D11"/>
  <sheetViews>
    <sheetView workbookViewId="0">
      <selection activeCell="E4" sqref="E4"/>
    </sheetView>
  </sheetViews>
  <sheetFormatPr defaultRowHeight="15"/>
  <cols>
    <col min="2" max="2" width="15.28515625" customWidth="1"/>
    <col min="4" max="4" width="13.5703125" customWidth="1"/>
  </cols>
  <sheetData>
    <row r="2" spans="1:4">
      <c r="A2" s="2" t="s">
        <v>145</v>
      </c>
    </row>
    <row r="7" spans="1:4">
      <c r="B7" s="3" t="s">
        <v>80</v>
      </c>
      <c r="C7" s="62">
        <v>1336000</v>
      </c>
      <c r="D7" s="63"/>
    </row>
    <row r="8" spans="1:4">
      <c r="B8" s="3" t="s">
        <v>81</v>
      </c>
      <c r="C8" s="62">
        <v>8207000</v>
      </c>
      <c r="D8" s="63"/>
    </row>
    <row r="11" spans="1:4">
      <c r="B11" t="s">
        <v>83</v>
      </c>
      <c r="C11" s="46">
        <f>C7/C8</f>
        <v>0.16278786401852077</v>
      </c>
    </row>
  </sheetData>
  <mergeCells count="2">
    <mergeCell ref="C8:D8"/>
    <mergeCell ref="C7:D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D19"/>
  <sheetViews>
    <sheetView workbookViewId="0">
      <selection activeCell="E9" sqref="E9"/>
    </sheetView>
  </sheetViews>
  <sheetFormatPr defaultRowHeight="15"/>
  <cols>
    <col min="2" max="2" width="23.42578125" customWidth="1"/>
    <col min="3" max="3" width="19.140625" customWidth="1"/>
  </cols>
  <sheetData>
    <row r="2" spans="1:4">
      <c r="A2" s="2" t="s">
        <v>144</v>
      </c>
    </row>
    <row r="3" spans="1:4">
      <c r="A3" s="2"/>
    </row>
    <row r="11" spans="1:4">
      <c r="B11" s="3" t="s">
        <v>85</v>
      </c>
      <c r="C11" s="6">
        <v>2601000</v>
      </c>
    </row>
    <row r="12" spans="1:4">
      <c r="B12" s="3" t="s">
        <v>81</v>
      </c>
      <c r="C12" s="13">
        <v>8207000</v>
      </c>
      <c r="D12" s="12"/>
    </row>
    <row r="13" spans="1:4">
      <c r="B13" s="3" t="s">
        <v>82</v>
      </c>
      <c r="C13" s="9">
        <v>-8.6E-3</v>
      </c>
    </row>
    <row r="14" spans="1:4">
      <c r="B14" s="3" t="s">
        <v>79</v>
      </c>
      <c r="C14" s="14">
        <v>0.16</v>
      </c>
    </row>
    <row r="17" spans="2:3">
      <c r="B17" t="s">
        <v>86</v>
      </c>
      <c r="C17" s="15">
        <f>C11+C12</f>
        <v>10808000</v>
      </c>
    </row>
    <row r="19" spans="2:3">
      <c r="B19" t="s">
        <v>87</v>
      </c>
      <c r="C19" s="21">
        <f>((C11/C17)*C13)+((C12/C17)*C14)</f>
        <v>0.11942555514433753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H31"/>
  <sheetViews>
    <sheetView workbookViewId="0">
      <selection activeCell="B1" sqref="B1"/>
    </sheetView>
  </sheetViews>
  <sheetFormatPr defaultRowHeight="15"/>
  <cols>
    <col min="1" max="1" width="18.28515625" customWidth="1"/>
    <col min="2" max="2" width="16.28515625" bestFit="1" customWidth="1"/>
    <col min="4" max="4" width="19.7109375" bestFit="1" customWidth="1"/>
    <col min="5" max="5" width="18.140625" customWidth="1"/>
    <col min="6" max="6" width="20.85546875" customWidth="1"/>
    <col min="7" max="7" width="20.42578125" customWidth="1"/>
    <col min="8" max="8" width="20.5703125" customWidth="1"/>
  </cols>
  <sheetData>
    <row r="2" spans="1:8">
      <c r="A2" s="2" t="s">
        <v>106</v>
      </c>
    </row>
    <row r="4" spans="1:8">
      <c r="A4" t="s">
        <v>107</v>
      </c>
      <c r="D4">
        <v>2019</v>
      </c>
      <c r="E4">
        <v>2020</v>
      </c>
      <c r="F4">
        <v>2021</v>
      </c>
      <c r="G4">
        <v>2022</v>
      </c>
      <c r="H4">
        <v>2023</v>
      </c>
    </row>
    <row r="5" spans="1:8">
      <c r="A5" s="37" t="s">
        <v>108</v>
      </c>
      <c r="B5" s="38"/>
      <c r="C5" s="38"/>
      <c r="D5" s="39">
        <f>1000*IS!F17</f>
        <v>1761614193.6845407</v>
      </c>
      <c r="E5" s="39">
        <f>1000*IS!G17</f>
        <v>1412141163.3529301</v>
      </c>
      <c r="F5" s="39">
        <f>1000*IS!H17</f>
        <v>90288247.41215539</v>
      </c>
      <c r="G5" s="39">
        <f>1000*IS!I17</f>
        <v>-2102761859.8471246</v>
      </c>
      <c r="H5" s="39">
        <f>1000*IS!J17</f>
        <v>-3737229400.7993517</v>
      </c>
    </row>
    <row r="6" spans="1:8">
      <c r="A6" s="2" t="s">
        <v>109</v>
      </c>
    </row>
    <row r="7" spans="1:8">
      <c r="A7" s="2" t="s">
        <v>110</v>
      </c>
      <c r="B7" s="47">
        <f>WACC!C19</f>
        <v>0.11942555514433753</v>
      </c>
    </row>
    <row r="8" spans="1:8">
      <c r="A8" s="2" t="s">
        <v>111</v>
      </c>
      <c r="D8" s="2">
        <v>2019</v>
      </c>
      <c r="E8" s="2">
        <v>2020</v>
      </c>
      <c r="F8" s="2">
        <v>2021</v>
      </c>
      <c r="G8" s="2">
        <v>2022</v>
      </c>
      <c r="H8" s="2">
        <v>2023</v>
      </c>
    </row>
    <row r="9" spans="1:8">
      <c r="D9" t="s">
        <v>117</v>
      </c>
      <c r="E9" t="s">
        <v>118</v>
      </c>
      <c r="F9" t="s">
        <v>119</v>
      </c>
      <c r="G9" t="s">
        <v>120</v>
      </c>
      <c r="H9" t="s">
        <v>121</v>
      </c>
    </row>
    <row r="10" spans="1:8">
      <c r="A10" t="s">
        <v>112</v>
      </c>
      <c r="D10">
        <f>1/((1+$B$7))^1</f>
        <v>0.89331532177774975</v>
      </c>
      <c r="E10">
        <f>1/((1+$B$7))^2</f>
        <v>0.79801226412288462</v>
      </c>
      <c r="F10">
        <f>1/((1+$B$7))^3</f>
        <v>0.71287658250752528</v>
      </c>
      <c r="G10">
        <f>1/((1+$B$7))^4</f>
        <v>0.63682357369053255</v>
      </c>
      <c r="H10">
        <f>1/((1+$B$7))^5</f>
        <v>0.56888425564701461</v>
      </c>
    </row>
    <row r="11" spans="1:8">
      <c r="A11" s="40" t="s">
        <v>113</v>
      </c>
      <c r="B11" s="38"/>
      <c r="C11" s="38"/>
      <c r="D11" s="39">
        <f>D5*D10</f>
        <v>1573676950.2795568</v>
      </c>
      <c r="E11" s="39">
        <f t="shared" ref="E11:H11" si="0">E5*E10</f>
        <v>1126905967.0283959</v>
      </c>
      <c r="F11" s="39">
        <f t="shared" si="0"/>
        <v>64364377.25577125</v>
      </c>
      <c r="G11" s="39">
        <f t="shared" si="0"/>
        <v>-1339088322.2079966</v>
      </c>
      <c r="H11" s="39">
        <f t="shared" si="0"/>
        <v>-2126050965.8558776</v>
      </c>
    </row>
    <row r="12" spans="1:8">
      <c r="A12" s="2" t="s">
        <v>114</v>
      </c>
    </row>
    <row r="13" spans="1:8">
      <c r="A13" t="s">
        <v>110</v>
      </c>
      <c r="F13" s="41">
        <f>B7</f>
        <v>0.11942555514433753</v>
      </c>
    </row>
    <row r="14" spans="1:8">
      <c r="A14" t="s">
        <v>122</v>
      </c>
      <c r="F14" s="10">
        <v>0.02</v>
      </c>
    </row>
    <row r="15" spans="1:8">
      <c r="A15" s="2" t="s">
        <v>115</v>
      </c>
      <c r="F15" s="42">
        <f>(H5*(1+F14))/(F13-F14)</f>
        <v>-38339981942.081596</v>
      </c>
    </row>
    <row r="16" spans="1:8">
      <c r="A16" s="2" t="s">
        <v>116</v>
      </c>
    </row>
    <row r="17" spans="2:6">
      <c r="B17" s="2" t="s">
        <v>123</v>
      </c>
      <c r="D17" s="2" t="s">
        <v>124</v>
      </c>
      <c r="F17" s="2" t="s">
        <v>125</v>
      </c>
    </row>
    <row r="18" spans="2:6">
      <c r="B18" s="15">
        <f>SUM(D11:H11)</f>
        <v>-700191993.5001502</v>
      </c>
      <c r="D18" s="43">
        <f>H10*F15</f>
        <v>-21811012088.641071</v>
      </c>
      <c r="F18" s="15">
        <f>B18+D18</f>
        <v>-22511204082.14122</v>
      </c>
    </row>
    <row r="19" spans="2:6">
      <c r="E19" t="s">
        <v>126</v>
      </c>
      <c r="F19" s="15">
        <f>F18</f>
        <v>-22511204082.14122</v>
      </c>
    </row>
    <row r="20" spans="2:6">
      <c r="D20" s="64" t="s">
        <v>127</v>
      </c>
      <c r="E20" s="64"/>
      <c r="F20" s="1">
        <f>1000*BS!B6</f>
        <v>321000000</v>
      </c>
    </row>
    <row r="21" spans="2:6">
      <c r="E21" s="18" t="s">
        <v>128</v>
      </c>
      <c r="F21" s="20">
        <f>SUM(F19:F20)</f>
        <v>-22190204082.14122</v>
      </c>
    </row>
    <row r="23" spans="2:6">
      <c r="E23" t="s">
        <v>129</v>
      </c>
      <c r="F23" s="1">
        <f>1000*(SUM(BS!B26:B30)-BS!B37)</f>
        <v>15201000000</v>
      </c>
    </row>
    <row r="24" spans="2:6">
      <c r="E24" t="s">
        <v>130</v>
      </c>
      <c r="F24" s="42">
        <f>1000*(BS!B31+(-BS!B38))</f>
        <v>16679000000</v>
      </c>
    </row>
    <row r="26" spans="2:6">
      <c r="E26" s="18" t="s">
        <v>131</v>
      </c>
      <c r="F26" s="20">
        <f>F21-F23-F24</f>
        <v>-54070204082.14122</v>
      </c>
    </row>
    <row r="28" spans="2:6">
      <c r="D28" s="64" t="s">
        <v>132</v>
      </c>
      <c r="E28" s="64"/>
      <c r="F28" s="44">
        <v>348000000</v>
      </c>
    </row>
    <row r="29" spans="2:6">
      <c r="D29" s="64" t="s">
        <v>133</v>
      </c>
      <c r="E29" s="64"/>
      <c r="F29" s="15">
        <f>F26/F28</f>
        <v>-155.37414966132533</v>
      </c>
    </row>
    <row r="30" spans="2:6">
      <c r="E30" t="s">
        <v>134</v>
      </c>
      <c r="F30">
        <v>57.2</v>
      </c>
    </row>
    <row r="31" spans="2:6">
      <c r="E31" t="s">
        <v>135</v>
      </c>
      <c r="F31" s="11">
        <f>-(1-F30/F29)</f>
        <v>-1.3681436077023168</v>
      </c>
    </row>
  </sheetData>
  <mergeCells count="3">
    <mergeCell ref="D20:E20"/>
    <mergeCell ref="D28:E28"/>
    <mergeCell ref="D29:E2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2:B9"/>
  <sheetViews>
    <sheetView workbookViewId="0">
      <selection activeCell="F13" sqref="F13"/>
    </sheetView>
  </sheetViews>
  <sheetFormatPr defaultRowHeight="15"/>
  <cols>
    <col min="1" max="1" width="4" customWidth="1"/>
  </cols>
  <sheetData>
    <row r="2" spans="1:2">
      <c r="A2" s="2" t="s">
        <v>142</v>
      </c>
    </row>
    <row r="4" spans="1:2">
      <c r="A4" t="s">
        <v>136</v>
      </c>
    </row>
    <row r="5" spans="1:2">
      <c r="A5">
        <v>1</v>
      </c>
      <c r="B5" t="s">
        <v>140</v>
      </c>
    </row>
    <row r="6" spans="1:2">
      <c r="A6">
        <v>2</v>
      </c>
      <c r="B6" t="s">
        <v>138</v>
      </c>
    </row>
    <row r="7" spans="1:2">
      <c r="A7">
        <v>3</v>
      </c>
      <c r="B7" t="s">
        <v>141</v>
      </c>
    </row>
    <row r="8" spans="1:2">
      <c r="A8">
        <v>4</v>
      </c>
      <c r="B8" t="s">
        <v>139</v>
      </c>
    </row>
    <row r="9" spans="1:2">
      <c r="A9">
        <v>5</v>
      </c>
      <c r="B9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2:F34"/>
  <sheetViews>
    <sheetView workbookViewId="0">
      <selection activeCell="K1" sqref="K1"/>
    </sheetView>
  </sheetViews>
  <sheetFormatPr defaultRowHeight="15"/>
  <cols>
    <col min="2" max="3" width="14" customWidth="1"/>
    <col min="4" max="4" width="16" customWidth="1"/>
    <col min="5" max="5" width="15.7109375" customWidth="1"/>
    <col min="6" max="6" width="19.42578125" customWidth="1"/>
  </cols>
  <sheetData>
    <row r="2" spans="1:6">
      <c r="A2" s="66" t="s">
        <v>143</v>
      </c>
      <c r="B2" s="66"/>
      <c r="C2" s="66"/>
    </row>
    <row r="4" spans="1:6">
      <c r="B4" s="8" t="s">
        <v>88</v>
      </c>
      <c r="C4" s="8" t="s">
        <v>98</v>
      </c>
      <c r="D4" s="8" t="s">
        <v>89</v>
      </c>
      <c r="E4" s="8" t="s">
        <v>90</v>
      </c>
      <c r="F4" s="8" t="s">
        <v>91</v>
      </c>
    </row>
    <row r="5" spans="1:6">
      <c r="B5" s="4">
        <v>43593</v>
      </c>
      <c r="C5" s="3">
        <v>56.634524999999996</v>
      </c>
      <c r="D5" s="16">
        <v>0</v>
      </c>
      <c r="E5" s="3">
        <v>2879.419922</v>
      </c>
      <c r="F5" s="16">
        <v>0</v>
      </c>
    </row>
    <row r="6" spans="1:6">
      <c r="B6" s="4">
        <v>43594</v>
      </c>
      <c r="C6" s="3">
        <v>57.16872</v>
      </c>
      <c r="D6" s="16">
        <f t="shared" ref="D6:D26" si="0">(C6-C5)/C6</f>
        <v>9.3441833226282477E-3</v>
      </c>
      <c r="E6" s="3">
        <v>2870.719971</v>
      </c>
      <c r="F6" s="16">
        <f>(E6-E5)/E6</f>
        <v>-3.0305815572006052E-3</v>
      </c>
    </row>
    <row r="7" spans="1:6">
      <c r="B7" s="4">
        <v>43595</v>
      </c>
      <c r="C7" s="3">
        <v>58.009582999999999</v>
      </c>
      <c r="D7" s="16">
        <f t="shared" si="0"/>
        <v>1.4495242967011136E-2</v>
      </c>
      <c r="E7" s="3">
        <v>2881.3999020000001</v>
      </c>
      <c r="F7" s="16">
        <f t="shared" ref="F7:F26" si="1">(E7-E6)/E7</f>
        <v>3.7065077265349762E-3</v>
      </c>
    </row>
    <row r="8" spans="1:6">
      <c r="B8" s="4">
        <v>43598</v>
      </c>
      <c r="C8" s="3">
        <v>57.158825</v>
      </c>
      <c r="D8" s="16">
        <f t="shared" si="0"/>
        <v>-1.4884105822679157E-2</v>
      </c>
      <c r="E8" s="3">
        <v>2811.8701169999999</v>
      </c>
      <c r="F8" s="16">
        <f t="shared" si="1"/>
        <v>-2.4727239206262446E-2</v>
      </c>
    </row>
    <row r="9" spans="1:6">
      <c r="B9" s="4">
        <v>43599</v>
      </c>
      <c r="C9" s="3">
        <v>56.555382000000002</v>
      </c>
      <c r="D9" s="16">
        <f t="shared" si="0"/>
        <v>-1.066994826416341E-2</v>
      </c>
      <c r="E9" s="3">
        <v>2834.4099120000001</v>
      </c>
      <c r="F9" s="16">
        <f t="shared" si="1"/>
        <v>7.9522001756251754E-3</v>
      </c>
    </row>
    <row r="10" spans="1:6">
      <c r="B10" s="4">
        <v>43600</v>
      </c>
      <c r="C10" s="3">
        <v>56.753234999999997</v>
      </c>
      <c r="D10" s="16">
        <f t="shared" si="0"/>
        <v>3.4861977471415499E-3</v>
      </c>
      <c r="E10" s="3">
        <v>2850.959961</v>
      </c>
      <c r="F10" s="16">
        <f t="shared" si="1"/>
        <v>5.8050794211065892E-3</v>
      </c>
    </row>
    <row r="11" spans="1:6">
      <c r="B11" s="4">
        <v>43601</v>
      </c>
      <c r="C11" s="3">
        <v>56.782913000000001</v>
      </c>
      <c r="D11" s="16">
        <f t="shared" si="0"/>
        <v>5.2265722964942095E-4</v>
      </c>
      <c r="E11" s="3">
        <v>2876.320068</v>
      </c>
      <c r="F11" s="16">
        <f t="shared" si="1"/>
        <v>8.8168584860007209E-3</v>
      </c>
    </row>
    <row r="12" spans="1:6">
      <c r="B12" s="4">
        <v>43602</v>
      </c>
      <c r="C12" s="3">
        <v>56.406998000000002</v>
      </c>
      <c r="D12" s="16">
        <f t="shared" si="0"/>
        <v>-6.6643326773036049E-3</v>
      </c>
      <c r="E12" s="3">
        <v>2859.530029</v>
      </c>
      <c r="F12" s="16">
        <f t="shared" si="1"/>
        <v>-5.871607862034443E-3</v>
      </c>
    </row>
    <row r="13" spans="1:6">
      <c r="B13" s="4">
        <v>43605</v>
      </c>
      <c r="C13" s="3">
        <v>55.833233</v>
      </c>
      <c r="D13" s="16">
        <f t="shared" si="0"/>
        <v>-1.027640652655743E-2</v>
      </c>
      <c r="E13" s="3">
        <v>2840.2299800000001</v>
      </c>
      <c r="F13" s="16">
        <f t="shared" si="1"/>
        <v>-6.7952416303978117E-3</v>
      </c>
    </row>
    <row r="14" spans="1:6">
      <c r="B14" s="4">
        <v>43606</v>
      </c>
      <c r="C14" s="3">
        <v>55.932158999999999</v>
      </c>
      <c r="D14" s="16">
        <f t="shared" si="0"/>
        <v>1.7686783733844198E-3</v>
      </c>
      <c r="E14" s="3">
        <v>2864.360107</v>
      </c>
      <c r="F14" s="16">
        <f t="shared" si="1"/>
        <v>8.424264442529434E-3</v>
      </c>
    </row>
    <row r="15" spans="1:6">
      <c r="B15" s="4">
        <v>43607</v>
      </c>
      <c r="C15" s="3">
        <v>56.219043999999997</v>
      </c>
      <c r="D15" s="16">
        <f t="shared" si="0"/>
        <v>5.1029860984473175E-3</v>
      </c>
      <c r="E15" s="3">
        <v>2856.2700199999999</v>
      </c>
      <c r="F15" s="16">
        <f t="shared" si="1"/>
        <v>-2.8323957270678631E-3</v>
      </c>
    </row>
    <row r="16" spans="1:6">
      <c r="B16" s="4">
        <v>43608</v>
      </c>
      <c r="C16" s="3">
        <v>56.476246000000003</v>
      </c>
      <c r="D16" s="16">
        <f t="shared" si="0"/>
        <v>4.5541624703597785E-3</v>
      </c>
      <c r="E16" s="3">
        <v>2822.23999</v>
      </c>
      <c r="F16" s="16">
        <f t="shared" si="1"/>
        <v>-1.2057808733693089E-2</v>
      </c>
    </row>
    <row r="17" spans="2:6">
      <c r="B17" s="4">
        <v>43609</v>
      </c>
      <c r="C17" s="3">
        <v>55.951946</v>
      </c>
      <c r="D17" s="16">
        <f t="shared" si="0"/>
        <v>-9.3705409281029071E-3</v>
      </c>
      <c r="E17" s="3">
        <v>2826.0600589999999</v>
      </c>
      <c r="F17" s="16">
        <f t="shared" si="1"/>
        <v>1.3517295882776127E-3</v>
      </c>
    </row>
    <row r="18" spans="2:6">
      <c r="B18" s="4">
        <v>43613</v>
      </c>
      <c r="C18" s="3">
        <v>53.973446000000003</v>
      </c>
      <c r="D18" s="16">
        <f t="shared" si="0"/>
        <v>-3.6656914587221215E-2</v>
      </c>
      <c r="E18" s="3">
        <v>2802.389893</v>
      </c>
      <c r="F18" s="16">
        <f t="shared" si="1"/>
        <v>-8.4464214130677649E-3</v>
      </c>
    </row>
    <row r="19" spans="2:6">
      <c r="B19" s="4">
        <v>43614</v>
      </c>
      <c r="C19" s="3">
        <v>52.232365000000001</v>
      </c>
      <c r="D19" s="16">
        <f t="shared" si="0"/>
        <v>-3.3333374814638418E-2</v>
      </c>
      <c r="E19" s="3">
        <v>2783.0200199999999</v>
      </c>
      <c r="F19" s="16">
        <f t="shared" si="1"/>
        <v>-6.9600192814998499E-3</v>
      </c>
    </row>
    <row r="20" spans="2:6">
      <c r="B20" s="4">
        <v>43615</v>
      </c>
      <c r="C20" s="3">
        <v>51.529998999999997</v>
      </c>
      <c r="D20" s="16">
        <f t="shared" si="0"/>
        <v>-1.3630235079181837E-2</v>
      </c>
      <c r="E20" s="3">
        <v>2788.860107</v>
      </c>
      <c r="F20" s="16">
        <f t="shared" si="1"/>
        <v>2.094076710890411E-3</v>
      </c>
    </row>
    <row r="21" spans="2:6">
      <c r="B21" s="4">
        <v>43616</v>
      </c>
      <c r="C21" s="3">
        <v>52.560001</v>
      </c>
      <c r="D21" s="16">
        <f t="shared" si="0"/>
        <v>1.9596689124872793E-2</v>
      </c>
      <c r="E21" s="3">
        <v>2752.0600589999999</v>
      </c>
      <c r="F21" s="16">
        <f t="shared" si="1"/>
        <v>-1.3371818641694863E-2</v>
      </c>
    </row>
    <row r="22" spans="2:6">
      <c r="B22" s="4">
        <v>43619</v>
      </c>
      <c r="C22" s="3">
        <v>53.799999</v>
      </c>
      <c r="D22" s="16">
        <f t="shared" si="0"/>
        <v>2.3048290391232164E-2</v>
      </c>
      <c r="E22" s="3">
        <v>2744.4499510000001</v>
      </c>
      <c r="F22" s="16">
        <f t="shared" si="1"/>
        <v>-2.7729082824873327E-3</v>
      </c>
    </row>
    <row r="23" spans="2:6">
      <c r="B23" s="4">
        <v>43620</v>
      </c>
      <c r="C23" s="3">
        <v>54.599997999999999</v>
      </c>
      <c r="D23" s="16">
        <f t="shared" si="0"/>
        <v>1.4651996873699514E-2</v>
      </c>
      <c r="E23" s="3">
        <v>2803.2700199999999</v>
      </c>
      <c r="F23" s="16">
        <f t="shared" si="1"/>
        <v>2.0982662597732869E-2</v>
      </c>
    </row>
    <row r="24" spans="2:6">
      <c r="B24" s="4">
        <v>43621</v>
      </c>
      <c r="C24" s="3">
        <v>55.009998000000003</v>
      </c>
      <c r="D24" s="16">
        <f t="shared" si="0"/>
        <v>7.4531906000069965E-3</v>
      </c>
      <c r="E24" s="3">
        <v>2826.1499020000001</v>
      </c>
      <c r="F24" s="16">
        <f t="shared" si="1"/>
        <v>8.0957779287675509E-3</v>
      </c>
    </row>
    <row r="25" spans="2:6">
      <c r="B25" s="4">
        <v>43622</v>
      </c>
      <c r="C25" s="3">
        <v>55.77</v>
      </c>
      <c r="D25" s="16">
        <f t="shared" si="0"/>
        <v>1.3627434104357182E-2</v>
      </c>
      <c r="E25" s="3">
        <v>2843.48999</v>
      </c>
      <c r="F25" s="16">
        <f t="shared" si="1"/>
        <v>6.0981709311380148E-3</v>
      </c>
    </row>
    <row r="26" spans="2:6">
      <c r="B26" s="4">
        <v>43623</v>
      </c>
      <c r="C26" s="3">
        <v>55.990001999999997</v>
      </c>
      <c r="D26" s="16">
        <f t="shared" si="0"/>
        <v>3.9293086647861492E-3</v>
      </c>
      <c r="E26" s="3">
        <v>2873.3400879999999</v>
      </c>
      <c r="F26" s="16">
        <f t="shared" si="1"/>
        <v>1.0388640775473666E-2</v>
      </c>
    </row>
    <row r="27" spans="2:6">
      <c r="D27" s="17">
        <f>SUM(D5:D26)</f>
        <v>-1.3904840732271301E-2</v>
      </c>
      <c r="F27" s="17">
        <f>SUM(F5:F26)</f>
        <v>-3.1500735513290481E-3</v>
      </c>
    </row>
    <row r="29" spans="2:6">
      <c r="B29" s="8"/>
      <c r="C29" s="8" t="s">
        <v>92</v>
      </c>
      <c r="D29" s="8" t="s">
        <v>93</v>
      </c>
    </row>
    <row r="30" spans="2:6">
      <c r="B30" s="3" t="s">
        <v>94</v>
      </c>
      <c r="C30" s="9">
        <f>D27</f>
        <v>-1.3904840732271301E-2</v>
      </c>
      <c r="D30" s="9">
        <f>F27</f>
        <v>-3.1500735513290481E-3</v>
      </c>
    </row>
    <row r="31" spans="2:6">
      <c r="B31" s="3" t="s">
        <v>95</v>
      </c>
      <c r="C31" s="3"/>
      <c r="D31" s="3"/>
    </row>
    <row r="32" spans="2:6">
      <c r="B32" s="3" t="s">
        <v>96</v>
      </c>
      <c r="C32" s="3">
        <f>VARP(D6:D26)</f>
        <v>2.3576295490229372E-4</v>
      </c>
      <c r="D32" s="3">
        <f>VARP(F6:F26)</f>
        <v>9.8905167066095078E-5</v>
      </c>
    </row>
    <row r="33" spans="2:4">
      <c r="B33" s="3" t="s">
        <v>97</v>
      </c>
      <c r="C33" s="65">
        <f>COVAR(D6:D26,F6:F26)</f>
        <v>5.0095852636299042E-5</v>
      </c>
      <c r="D33" s="65"/>
    </row>
    <row r="34" spans="2:4">
      <c r="B34" s="3" t="s">
        <v>78</v>
      </c>
      <c r="C34" s="52">
        <f>C33/D32</f>
        <v>0.50650389784814409</v>
      </c>
      <c r="D34" s="54"/>
    </row>
  </sheetData>
  <mergeCells count="3">
    <mergeCell ref="C33:D33"/>
    <mergeCell ref="C34:D34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IS</vt:lpstr>
      <vt:lpstr>BS</vt:lpstr>
      <vt:lpstr>CS</vt:lpstr>
      <vt:lpstr>Ke</vt:lpstr>
      <vt:lpstr>Kd</vt:lpstr>
      <vt:lpstr>WACC</vt:lpstr>
      <vt:lpstr>DCF</vt:lpstr>
      <vt:lpstr>Assumptions</vt:lpstr>
      <vt:lpstr>K Beta and Rate of Returns</vt:lpstr>
      <vt:lpstr>BS!financials?query_balance_sheet</vt:lpstr>
      <vt:lpstr>CS!financials?query_cash_flow</vt:lpstr>
      <vt:lpstr>IS!financials?query_income_statement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2019-06-07T15:42:36Z</dcterms:created>
  <dcterms:modified xsi:type="dcterms:W3CDTF">2019-06-09T09:05:11Z</dcterms:modified>
</cp:coreProperties>
</file>